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595"/>
  </bookViews>
  <sheets>
    <sheet name="PROGRAMADO" sheetId="1" r:id="rId1"/>
    <sheet name="PROGRAMADO-COR06" sheetId="8" r:id="rId2"/>
    <sheet name="PROGRAMADO-DÓLARES" sheetId="9" r:id="rId3"/>
    <sheet name="Anexo " sheetId="6" r:id="rId4"/>
  </sheets>
  <calcPr calcId="145621"/>
</workbook>
</file>

<file path=xl/calcChain.xml><?xml version="1.0" encoding="utf-8"?>
<calcChain xmlns="http://schemas.openxmlformats.org/spreadsheetml/2006/main">
  <c r="CB7" i="8" l="1"/>
  <c r="CC7" i="8"/>
  <c r="CD7" i="8"/>
  <c r="CE7" i="8"/>
  <c r="CF7" i="8"/>
  <c r="CG7" i="8"/>
  <c r="CH7" i="8"/>
  <c r="CI7" i="8"/>
  <c r="CB8" i="8"/>
  <c r="CC8" i="8"/>
  <c r="CD8" i="8"/>
  <c r="CE8" i="8"/>
  <c r="CF8" i="8"/>
  <c r="CG8" i="8"/>
  <c r="CH8" i="8"/>
  <c r="CI8" i="8"/>
  <c r="CB9" i="8"/>
  <c r="CC9" i="8"/>
  <c r="CD9" i="8"/>
  <c r="CE9" i="8"/>
  <c r="CF9" i="8"/>
  <c r="CG9" i="8"/>
  <c r="CH9" i="8"/>
  <c r="CI9" i="8"/>
  <c r="CB10" i="8"/>
  <c r="CC10" i="8"/>
  <c r="CD10" i="8"/>
  <c r="CE10" i="8"/>
  <c r="CF10" i="8"/>
  <c r="CG10" i="8"/>
  <c r="CH10" i="8"/>
  <c r="CI10" i="8"/>
  <c r="CB11" i="8"/>
  <c r="CC11" i="8"/>
  <c r="CD11" i="8"/>
  <c r="CE11" i="8"/>
  <c r="CF11" i="8"/>
  <c r="CG11" i="8"/>
  <c r="CH11" i="8"/>
  <c r="CI11" i="8"/>
  <c r="CB12" i="8"/>
  <c r="CC12" i="8"/>
  <c r="CD12" i="8"/>
  <c r="CE12" i="8"/>
  <c r="CF12" i="8"/>
  <c r="CG12" i="8"/>
  <c r="CH12" i="8"/>
  <c r="CI12" i="8"/>
  <c r="CB13" i="8"/>
  <c r="CC13" i="8"/>
  <c r="CD13" i="8"/>
  <c r="CE13" i="8"/>
  <c r="CF13" i="8"/>
  <c r="CG13" i="8"/>
  <c r="CH13" i="8"/>
  <c r="CI13" i="8"/>
  <c r="CB14" i="8"/>
  <c r="CC14" i="8"/>
  <c r="CD14" i="8"/>
  <c r="CE14" i="8"/>
  <c r="CF14" i="8"/>
  <c r="CG14" i="8"/>
  <c r="CH14" i="8"/>
  <c r="CI14" i="8"/>
  <c r="CB15" i="8"/>
  <c r="CC15" i="8"/>
  <c r="CD15" i="8"/>
  <c r="CE15" i="8"/>
  <c r="CF15" i="8"/>
  <c r="CG15" i="8"/>
  <c r="CH15" i="8"/>
  <c r="CI15" i="8"/>
  <c r="CB16" i="8"/>
  <c r="CC16" i="8"/>
  <c r="CD16" i="8"/>
  <c r="CE16" i="8"/>
  <c r="CF16" i="8"/>
  <c r="CG16" i="8"/>
  <c r="CH16" i="8"/>
  <c r="CI16" i="8"/>
  <c r="CB17" i="8"/>
  <c r="CC17" i="8"/>
  <c r="CD17" i="8"/>
  <c r="CE17" i="8"/>
  <c r="CF17" i="8"/>
  <c r="CG17" i="8"/>
  <c r="CH17" i="8"/>
  <c r="CI17" i="8"/>
  <c r="CB18" i="8"/>
  <c r="CC18" i="8"/>
  <c r="CD18" i="8"/>
  <c r="CE18" i="8"/>
  <c r="CF18" i="8"/>
  <c r="CG18" i="8"/>
  <c r="CH18" i="8"/>
  <c r="CI18" i="8"/>
  <c r="CB19" i="8"/>
  <c r="CC19" i="8"/>
  <c r="CD19" i="8"/>
  <c r="CE19" i="8"/>
  <c r="CF19" i="8"/>
  <c r="CG19" i="8"/>
  <c r="CH19" i="8"/>
  <c r="CI19" i="8"/>
  <c r="CB20" i="8"/>
  <c r="CC20" i="8"/>
  <c r="CD20" i="8"/>
  <c r="CE20" i="8"/>
  <c r="CF20" i="8"/>
  <c r="CG20" i="8"/>
  <c r="CH20" i="8"/>
  <c r="CI20" i="8"/>
  <c r="CB21" i="8"/>
  <c r="CC21" i="8"/>
  <c r="CD21" i="8"/>
  <c r="CE21" i="8"/>
  <c r="CF21" i="8"/>
  <c r="CG21" i="8"/>
  <c r="CH21" i="8"/>
  <c r="CI21" i="8"/>
  <c r="CB22" i="8"/>
  <c r="CC22" i="8"/>
  <c r="CD22" i="8"/>
  <c r="CE22" i="8"/>
  <c r="CF22" i="8"/>
  <c r="CG22" i="8"/>
  <c r="CH22" i="8"/>
  <c r="CI22" i="8"/>
  <c r="CB23" i="8"/>
  <c r="CC23" i="8"/>
  <c r="CD23" i="8"/>
  <c r="CE23" i="8"/>
  <c r="CF23" i="8"/>
  <c r="CG23" i="8"/>
  <c r="CH23" i="8"/>
  <c r="CI23" i="8"/>
  <c r="CB24" i="8"/>
  <c r="CC24" i="8"/>
  <c r="CD24" i="8"/>
  <c r="CE24" i="8"/>
  <c r="CF24" i="8"/>
  <c r="CG24" i="8"/>
  <c r="CH24" i="8"/>
  <c r="CI24" i="8"/>
  <c r="CB25" i="8"/>
  <c r="CC25" i="8"/>
  <c r="CD25" i="8"/>
  <c r="CE25" i="8"/>
  <c r="CF25" i="8"/>
  <c r="CG25" i="8"/>
  <c r="CH25" i="8"/>
  <c r="CI25" i="8"/>
  <c r="CB26" i="8"/>
  <c r="CC26" i="8"/>
  <c r="CD26" i="8"/>
  <c r="CE26" i="8"/>
  <c r="CF26" i="8"/>
  <c r="CG26" i="8"/>
  <c r="CH26" i="8"/>
  <c r="CI26" i="8"/>
  <c r="CB27" i="8"/>
  <c r="CC27" i="8"/>
  <c r="CD27" i="8"/>
  <c r="CE27" i="8"/>
  <c r="CF27" i="8"/>
  <c r="CG27" i="8"/>
  <c r="CH27" i="8"/>
  <c r="CI27" i="8"/>
  <c r="CB28" i="8"/>
  <c r="CC28" i="8"/>
  <c r="CD28" i="8"/>
  <c r="CE28" i="8"/>
  <c r="CF28" i="8"/>
  <c r="CG28" i="8"/>
  <c r="CH28" i="8"/>
  <c r="CI28" i="8"/>
  <c r="CB29" i="8"/>
  <c r="CC29" i="8"/>
  <c r="CD29" i="8"/>
  <c r="CE29" i="8"/>
  <c r="CF29" i="8"/>
  <c r="CG29" i="8"/>
  <c r="CH29" i="8"/>
  <c r="CI29" i="8"/>
  <c r="CB30" i="8"/>
  <c r="CC30" i="8"/>
  <c r="CD30" i="8"/>
  <c r="CE30" i="8"/>
  <c r="CF30" i="8"/>
  <c r="CG30" i="8"/>
  <c r="CH30" i="8"/>
  <c r="CI30" i="8"/>
  <c r="CB31" i="8"/>
  <c r="CC31" i="8"/>
  <c r="CD31" i="8"/>
  <c r="CE31" i="8"/>
  <c r="CF31" i="8"/>
  <c r="CG31" i="8"/>
  <c r="CH31" i="8"/>
  <c r="CI31" i="8"/>
  <c r="CB32" i="8"/>
  <c r="CC32" i="8"/>
  <c r="CD32" i="8"/>
  <c r="CE32" i="8"/>
  <c r="CF32" i="8"/>
  <c r="CG32" i="8"/>
  <c r="CH32" i="8"/>
  <c r="CI32" i="8"/>
  <c r="CB33" i="8"/>
  <c r="CC33" i="8"/>
  <c r="CD33" i="8"/>
  <c r="CE33" i="8"/>
  <c r="CF33" i="8"/>
  <c r="CG33" i="8"/>
  <c r="CH33" i="8"/>
  <c r="CI33" i="8"/>
  <c r="CB34" i="8"/>
  <c r="CC34" i="8"/>
  <c r="CD34" i="8"/>
  <c r="CE34" i="8"/>
  <c r="CF34" i="8"/>
  <c r="CG34" i="8"/>
  <c r="CH34" i="8"/>
  <c r="CI34" i="8"/>
  <c r="CB35" i="8"/>
  <c r="CC35" i="8"/>
  <c r="CD35" i="8"/>
  <c r="CE35" i="8"/>
  <c r="CF35" i="8"/>
  <c r="CG35" i="8"/>
  <c r="CH35" i="8"/>
  <c r="CI35" i="8"/>
  <c r="CB36" i="8"/>
  <c r="CC36" i="8"/>
  <c r="CD36" i="8"/>
  <c r="CE36" i="8"/>
  <c r="CF36" i="8"/>
  <c r="CG36" i="8"/>
  <c r="CH36" i="8"/>
  <c r="CI36" i="8"/>
  <c r="CB37" i="8"/>
  <c r="CC37" i="8"/>
  <c r="CD37" i="8"/>
  <c r="CE37" i="8"/>
  <c r="CF37" i="8"/>
  <c r="CG37" i="8"/>
  <c r="CH37" i="8"/>
  <c r="CI37" i="8"/>
  <c r="CB38" i="8"/>
  <c r="CC38" i="8"/>
  <c r="CD38" i="8"/>
  <c r="CE38" i="8"/>
  <c r="CF38" i="8"/>
  <c r="CG38" i="8"/>
  <c r="CH38" i="8"/>
  <c r="CI38" i="8"/>
  <c r="CB39" i="8"/>
  <c r="CC39" i="8"/>
  <c r="CD39" i="8"/>
  <c r="CE39" i="8"/>
  <c r="CF39" i="8"/>
  <c r="CG39" i="8"/>
  <c r="CH39" i="8"/>
  <c r="CI39" i="8"/>
  <c r="CB40" i="8"/>
  <c r="CC40" i="8"/>
  <c r="CD40" i="8"/>
  <c r="CE40" i="8"/>
  <c r="CF40" i="8"/>
  <c r="CG40" i="8"/>
  <c r="CH40" i="8"/>
  <c r="CI40" i="8"/>
  <c r="CB41" i="8"/>
  <c r="CC41" i="8"/>
  <c r="CD41" i="8"/>
  <c r="CE41" i="8"/>
  <c r="CF41" i="8"/>
  <c r="CG41" i="8"/>
  <c r="CH41" i="8"/>
  <c r="CI41" i="8"/>
  <c r="CB42" i="8"/>
  <c r="CC42" i="8"/>
  <c r="CD42" i="8"/>
  <c r="CE42" i="8"/>
  <c r="CF42" i="8"/>
  <c r="CG42" i="8"/>
  <c r="CH42" i="8"/>
  <c r="CI42" i="8"/>
  <c r="CB43" i="8"/>
  <c r="CC43" i="8"/>
  <c r="CD43" i="8"/>
  <c r="CE43" i="8"/>
  <c r="CF43" i="8"/>
  <c r="CG43" i="8"/>
  <c r="CH43" i="8"/>
  <c r="CI43" i="8"/>
  <c r="CB44" i="8"/>
  <c r="CC44" i="8"/>
  <c r="CD44" i="8"/>
  <c r="CE44" i="8"/>
  <c r="CF44" i="8"/>
  <c r="CG44" i="8"/>
  <c r="CH44" i="8"/>
  <c r="CI44" i="8"/>
  <c r="CB45" i="8"/>
  <c r="CC45" i="8"/>
  <c r="CD45" i="8"/>
  <c r="CE45" i="8"/>
  <c r="CF45" i="8"/>
  <c r="CG45" i="8"/>
  <c r="CH45" i="8"/>
  <c r="CI45" i="8"/>
  <c r="CB46" i="8"/>
  <c r="CC46" i="8"/>
  <c r="CD46" i="8"/>
  <c r="CE46" i="8"/>
  <c r="CF46" i="8"/>
  <c r="CG46" i="8"/>
  <c r="CH46" i="8"/>
  <c r="CI46" i="8"/>
  <c r="CB47" i="8"/>
  <c r="CC47" i="8"/>
  <c r="CD47" i="8"/>
  <c r="CE47" i="8"/>
  <c r="CF47" i="8"/>
  <c r="CG47" i="8"/>
  <c r="CH47" i="8"/>
  <c r="CI47" i="8"/>
  <c r="CB48" i="8"/>
  <c r="CC48" i="8"/>
  <c r="CD48" i="8"/>
  <c r="CE48" i="8"/>
  <c r="CF48" i="8"/>
  <c r="CG48" i="8"/>
  <c r="CH48" i="8"/>
  <c r="CI48" i="8"/>
  <c r="CB49" i="8"/>
  <c r="CC49" i="8"/>
  <c r="CD49" i="8"/>
  <c r="CE49" i="8"/>
  <c r="CF49" i="8"/>
  <c r="CG49" i="8"/>
  <c r="CH49" i="8"/>
  <c r="CI49" i="8"/>
  <c r="CB50" i="8"/>
  <c r="CC50" i="8"/>
  <c r="CD50" i="8"/>
  <c r="CE50" i="8"/>
  <c r="CF50" i="8"/>
  <c r="CG50" i="8"/>
  <c r="CH50" i="8"/>
  <c r="CI50" i="8"/>
  <c r="CB51" i="8"/>
  <c r="CC51" i="8"/>
  <c r="CD51" i="8"/>
  <c r="CE51" i="8"/>
  <c r="CF51" i="8"/>
  <c r="CG51" i="8"/>
  <c r="CH51" i="8"/>
  <c r="CI51" i="8"/>
  <c r="CB52" i="8"/>
  <c r="CC52" i="8"/>
  <c r="CD52" i="8"/>
  <c r="CE52" i="8"/>
  <c r="CF52" i="8"/>
  <c r="CG52" i="8"/>
  <c r="CH52" i="8"/>
  <c r="CI52" i="8"/>
  <c r="CB53" i="8"/>
  <c r="CC53" i="8"/>
  <c r="CD53" i="8"/>
  <c r="CE53" i="8"/>
  <c r="CF53" i="8"/>
  <c r="CG53" i="8"/>
  <c r="CH53" i="8"/>
  <c r="CI53" i="8"/>
  <c r="CB54" i="8"/>
  <c r="CC54" i="8"/>
  <c r="CD54" i="8"/>
  <c r="CE54" i="8"/>
  <c r="CF54" i="8"/>
  <c r="CG54" i="8"/>
  <c r="CH54" i="8"/>
  <c r="CI54" i="8"/>
  <c r="CB55" i="8"/>
  <c r="CC55" i="8"/>
  <c r="CD55" i="8"/>
  <c r="CE55" i="8"/>
  <c r="CF55" i="8"/>
  <c r="CG55" i="8"/>
  <c r="CH55" i="8"/>
  <c r="CI55" i="8"/>
  <c r="CB56" i="8"/>
  <c r="CC56" i="8"/>
  <c r="CD56" i="8"/>
  <c r="CE56" i="8"/>
  <c r="CF56" i="8"/>
  <c r="CG56" i="8"/>
  <c r="CH56" i="8"/>
  <c r="CI56" i="8"/>
  <c r="CB57" i="8"/>
  <c r="CC57" i="8"/>
  <c r="CD57" i="8"/>
  <c r="CE57" i="8"/>
  <c r="CF57" i="8"/>
  <c r="CG57" i="8"/>
  <c r="CH57" i="8"/>
  <c r="CI57" i="8"/>
  <c r="CB58" i="8"/>
  <c r="CC58" i="8"/>
  <c r="CD58" i="8"/>
  <c r="CE58" i="8"/>
  <c r="CF58" i="8"/>
  <c r="CG58" i="8"/>
  <c r="CH58" i="8"/>
  <c r="CI58" i="8"/>
  <c r="CB59" i="8"/>
  <c r="CC59" i="8"/>
  <c r="CD59" i="8"/>
  <c r="CE59" i="8"/>
  <c r="CF59" i="8"/>
  <c r="CG59" i="8"/>
  <c r="CH59" i="8"/>
  <c r="CI59" i="8"/>
  <c r="CB60" i="8"/>
  <c r="CC60" i="8"/>
  <c r="CD60" i="8"/>
  <c r="CE60" i="8"/>
  <c r="CF60" i="8"/>
  <c r="CG60" i="8"/>
  <c r="CH60" i="8"/>
  <c r="CI60" i="8"/>
  <c r="CB61" i="8"/>
  <c r="CC61" i="8"/>
  <c r="CD61" i="8"/>
  <c r="CE61" i="8"/>
  <c r="CF61" i="8"/>
  <c r="CG61" i="8"/>
  <c r="CH61" i="8"/>
  <c r="CI61" i="8"/>
  <c r="CB62" i="8"/>
  <c r="CC62" i="8"/>
  <c r="CD62" i="8"/>
  <c r="CE62" i="8"/>
  <c r="CF62" i="8"/>
  <c r="CG62" i="8"/>
  <c r="CH62" i="8"/>
  <c r="CI62" i="8"/>
  <c r="CB63" i="8"/>
  <c r="CC63" i="8"/>
  <c r="CD63" i="8"/>
  <c r="CE63" i="8"/>
  <c r="CF63" i="8"/>
  <c r="CG63" i="8"/>
  <c r="CH63" i="8"/>
  <c r="CI63" i="8"/>
  <c r="CB64" i="8"/>
  <c r="CC64" i="8"/>
  <c r="CD64" i="8"/>
  <c r="CE64" i="8"/>
  <c r="CF64" i="8"/>
  <c r="CG64" i="8"/>
  <c r="CH64" i="8"/>
  <c r="CI64" i="8"/>
  <c r="CB65" i="8"/>
  <c r="CC65" i="8"/>
  <c r="CD65" i="8"/>
  <c r="CE65" i="8"/>
  <c r="CF65" i="8"/>
  <c r="CG65" i="8"/>
  <c r="CH65" i="8"/>
  <c r="CI65" i="8"/>
  <c r="CB66" i="8"/>
  <c r="CC66" i="8"/>
  <c r="CD66" i="8"/>
  <c r="CE66" i="8"/>
  <c r="CF66" i="8"/>
  <c r="CG66" i="8"/>
  <c r="CH66" i="8"/>
  <c r="CI66" i="8"/>
  <c r="CB67" i="8"/>
  <c r="CC67" i="8"/>
  <c r="CD67" i="8"/>
  <c r="CE67" i="8"/>
  <c r="CF67" i="8"/>
  <c r="CG67" i="8"/>
  <c r="CH67" i="8"/>
  <c r="CI67" i="8"/>
  <c r="CB68" i="8"/>
  <c r="CC68" i="8"/>
  <c r="CD68" i="8"/>
  <c r="CE68" i="8"/>
  <c r="CF68" i="8"/>
  <c r="CG68" i="8"/>
  <c r="CH68" i="8"/>
  <c r="CI68" i="8"/>
  <c r="CB69" i="8"/>
  <c r="CC69" i="8"/>
  <c r="CD69" i="8"/>
  <c r="CE69" i="8"/>
  <c r="CF69" i="8"/>
  <c r="CG69" i="8"/>
  <c r="CH69" i="8"/>
  <c r="CI69" i="8"/>
  <c r="CB70" i="8"/>
  <c r="CC70" i="8"/>
  <c r="CD70" i="8"/>
  <c r="CE70" i="8"/>
  <c r="CF70" i="8"/>
  <c r="CG70" i="8"/>
  <c r="CH70" i="8"/>
  <c r="CI70" i="8"/>
  <c r="CB71" i="8"/>
  <c r="CC71" i="8"/>
  <c r="CD71" i="8"/>
  <c r="CE71" i="8"/>
  <c r="CF71" i="8"/>
  <c r="CG71" i="8"/>
  <c r="CH71" i="8"/>
  <c r="CI71" i="8"/>
  <c r="CB72" i="8"/>
  <c r="CC72" i="8"/>
  <c r="CD72" i="8"/>
  <c r="CE72" i="8"/>
  <c r="CF72" i="8"/>
  <c r="CG72" i="8"/>
  <c r="CH72" i="8"/>
  <c r="CI72" i="8"/>
  <c r="CB73" i="8"/>
  <c r="CC73" i="8"/>
  <c r="CD73" i="8"/>
  <c r="CE73" i="8"/>
  <c r="CF73" i="8"/>
  <c r="CG73" i="8"/>
  <c r="CH73" i="8"/>
  <c r="CI73" i="8"/>
  <c r="CB74" i="8"/>
  <c r="CC74" i="8"/>
  <c r="CD74" i="8"/>
  <c r="CE74" i="8"/>
  <c r="CF74" i="8"/>
  <c r="CG74" i="8"/>
  <c r="CH74" i="8"/>
  <c r="CI74" i="8"/>
  <c r="CB75" i="8"/>
  <c r="CC75" i="8"/>
  <c r="CD75" i="8"/>
  <c r="CE75" i="8"/>
  <c r="CF75" i="8"/>
  <c r="CG75" i="8"/>
  <c r="CH75" i="8"/>
  <c r="CI75" i="8"/>
  <c r="CB76" i="8"/>
  <c r="CC76" i="8"/>
  <c r="CD76" i="8"/>
  <c r="CE76" i="8"/>
  <c r="CF76" i="8"/>
  <c r="CG76" i="8"/>
  <c r="CH76" i="8"/>
  <c r="CI76" i="8"/>
  <c r="CB77" i="8"/>
  <c r="CC77" i="8"/>
  <c r="CD77" i="8"/>
  <c r="CE77" i="8"/>
  <c r="CF77" i="8"/>
  <c r="CG77" i="8"/>
  <c r="CH77" i="8"/>
  <c r="CI77" i="8"/>
  <c r="CB78" i="8"/>
  <c r="CC78" i="8"/>
  <c r="CD78" i="8"/>
  <c r="CE78" i="8"/>
  <c r="CF78" i="8"/>
  <c r="CG78" i="8"/>
  <c r="CH78" i="8"/>
  <c r="CI78" i="8"/>
  <c r="CC6" i="8"/>
  <c r="CD6" i="8"/>
  <c r="CE6" i="8"/>
  <c r="CF6" i="8"/>
  <c r="CG6" i="8"/>
  <c r="CH6" i="8"/>
  <c r="CI6" i="8"/>
  <c r="CB6" i="8"/>
  <c r="CC5" i="8"/>
  <c r="CD5" i="8"/>
  <c r="CE5" i="8"/>
  <c r="CF5" i="8"/>
  <c r="CG5" i="8"/>
  <c r="CH5" i="8"/>
  <c r="CI5" i="8"/>
  <c r="CB5" i="8"/>
  <c r="BT7" i="8"/>
  <c r="BU7" i="8"/>
  <c r="BV7" i="8"/>
  <c r="BW7" i="8"/>
  <c r="BX7" i="8"/>
  <c r="BY7" i="8"/>
  <c r="BZ7" i="8"/>
  <c r="CA7" i="8"/>
  <c r="BT8" i="8"/>
  <c r="BU8" i="8"/>
  <c r="BV8" i="8"/>
  <c r="BW8" i="8"/>
  <c r="BX8" i="8"/>
  <c r="BY8" i="8"/>
  <c r="BZ8" i="8"/>
  <c r="CA8" i="8"/>
  <c r="BT9" i="8"/>
  <c r="BU9" i="8"/>
  <c r="BV9" i="8"/>
  <c r="BW9" i="8"/>
  <c r="BX9" i="8"/>
  <c r="BY9" i="8"/>
  <c r="BZ9" i="8"/>
  <c r="CA9" i="8"/>
  <c r="BT10" i="8"/>
  <c r="BU10" i="8"/>
  <c r="BV10" i="8"/>
  <c r="BW10" i="8"/>
  <c r="BX10" i="8"/>
  <c r="BY10" i="8"/>
  <c r="BZ10" i="8"/>
  <c r="CA10" i="8"/>
  <c r="BT11" i="8"/>
  <c r="BU11" i="8"/>
  <c r="BV11" i="8"/>
  <c r="BW11" i="8"/>
  <c r="BX11" i="8"/>
  <c r="BY11" i="8"/>
  <c r="BZ11" i="8"/>
  <c r="CA11" i="8"/>
  <c r="BT12" i="8"/>
  <c r="BU12" i="8"/>
  <c r="BV12" i="8"/>
  <c r="BW12" i="8"/>
  <c r="BX12" i="8"/>
  <c r="BY12" i="8"/>
  <c r="BZ12" i="8"/>
  <c r="CA12" i="8"/>
  <c r="BT13" i="8"/>
  <c r="BU13" i="8"/>
  <c r="BV13" i="8"/>
  <c r="BW13" i="8"/>
  <c r="BX13" i="8"/>
  <c r="BY13" i="8"/>
  <c r="BZ13" i="8"/>
  <c r="CA13" i="8"/>
  <c r="BT14" i="8"/>
  <c r="BU14" i="8"/>
  <c r="BV14" i="8"/>
  <c r="BW14" i="8"/>
  <c r="BX14" i="8"/>
  <c r="BY14" i="8"/>
  <c r="BZ14" i="8"/>
  <c r="CA14" i="8"/>
  <c r="BT15" i="8"/>
  <c r="BU15" i="8"/>
  <c r="BV15" i="8"/>
  <c r="BW15" i="8"/>
  <c r="BX15" i="8"/>
  <c r="BY15" i="8"/>
  <c r="BZ15" i="8"/>
  <c r="CA15" i="8"/>
  <c r="BT16" i="8"/>
  <c r="BU16" i="8"/>
  <c r="BV16" i="8"/>
  <c r="BW16" i="8"/>
  <c r="BX16" i="8"/>
  <c r="BY16" i="8"/>
  <c r="BZ16" i="8"/>
  <c r="CA16" i="8"/>
  <c r="BT17" i="8"/>
  <c r="BU17" i="8"/>
  <c r="BV17" i="8"/>
  <c r="BW17" i="8"/>
  <c r="BX17" i="8"/>
  <c r="BY17" i="8"/>
  <c r="BZ17" i="8"/>
  <c r="CA17" i="8"/>
  <c r="BT18" i="8"/>
  <c r="BU18" i="8"/>
  <c r="BV18" i="8"/>
  <c r="BW18" i="8"/>
  <c r="BX18" i="8"/>
  <c r="BY18" i="8"/>
  <c r="BZ18" i="8"/>
  <c r="CA18" i="8"/>
  <c r="BT19" i="8"/>
  <c r="BU19" i="8"/>
  <c r="BV19" i="8"/>
  <c r="BW19" i="8"/>
  <c r="BX19" i="8"/>
  <c r="BY19" i="8"/>
  <c r="BZ19" i="8"/>
  <c r="CA19" i="8"/>
  <c r="BT20" i="8"/>
  <c r="BU20" i="8"/>
  <c r="BV20" i="8"/>
  <c r="BW20" i="8"/>
  <c r="BX20" i="8"/>
  <c r="BY20" i="8"/>
  <c r="BZ20" i="8"/>
  <c r="CA20" i="8"/>
  <c r="BT21" i="8"/>
  <c r="BU21" i="8"/>
  <c r="BV21" i="8"/>
  <c r="BW21" i="8"/>
  <c r="BX21" i="8"/>
  <c r="BY21" i="8"/>
  <c r="BZ21" i="8"/>
  <c r="CA21" i="8"/>
  <c r="BT22" i="8"/>
  <c r="BU22" i="8"/>
  <c r="BV22" i="8"/>
  <c r="BW22" i="8"/>
  <c r="BX22" i="8"/>
  <c r="BY22" i="8"/>
  <c r="BZ22" i="8"/>
  <c r="CA22" i="8"/>
  <c r="BT23" i="8"/>
  <c r="BU23" i="8"/>
  <c r="BV23" i="8"/>
  <c r="BW23" i="8"/>
  <c r="BX23" i="8"/>
  <c r="BY23" i="8"/>
  <c r="BZ23" i="8"/>
  <c r="CA23" i="8"/>
  <c r="BT24" i="8"/>
  <c r="BU24" i="8"/>
  <c r="BV24" i="8"/>
  <c r="BW24" i="8"/>
  <c r="BX24" i="8"/>
  <c r="BY24" i="8"/>
  <c r="BZ24" i="8"/>
  <c r="CA24" i="8"/>
  <c r="BT25" i="8"/>
  <c r="BU25" i="8"/>
  <c r="BV25" i="8"/>
  <c r="BW25" i="8"/>
  <c r="BX25" i="8"/>
  <c r="BY25" i="8"/>
  <c r="BZ25" i="8"/>
  <c r="CA25" i="8"/>
  <c r="BT26" i="8"/>
  <c r="BU26" i="8"/>
  <c r="BV26" i="8"/>
  <c r="BW26" i="8"/>
  <c r="BX26" i="8"/>
  <c r="BY26" i="8"/>
  <c r="BZ26" i="8"/>
  <c r="CA26" i="8"/>
  <c r="BT27" i="8"/>
  <c r="BU27" i="8"/>
  <c r="BV27" i="8"/>
  <c r="BW27" i="8"/>
  <c r="BX27" i="8"/>
  <c r="BY27" i="8"/>
  <c r="BZ27" i="8"/>
  <c r="CA27" i="8"/>
  <c r="BT28" i="8"/>
  <c r="BU28" i="8"/>
  <c r="BV28" i="8"/>
  <c r="BW28" i="8"/>
  <c r="BX28" i="8"/>
  <c r="BY28" i="8"/>
  <c r="BZ28" i="8"/>
  <c r="CA28" i="8"/>
  <c r="BT29" i="8"/>
  <c r="BU29" i="8"/>
  <c r="BV29" i="8"/>
  <c r="BW29" i="8"/>
  <c r="BX29" i="8"/>
  <c r="BY29" i="8"/>
  <c r="BZ29" i="8"/>
  <c r="CA29" i="8"/>
  <c r="BT30" i="8"/>
  <c r="BU30" i="8"/>
  <c r="BV30" i="8"/>
  <c r="BW30" i="8"/>
  <c r="BX30" i="8"/>
  <c r="BY30" i="8"/>
  <c r="BZ30" i="8"/>
  <c r="CA30" i="8"/>
  <c r="BT31" i="8"/>
  <c r="BU31" i="8"/>
  <c r="BV31" i="8"/>
  <c r="BW31" i="8"/>
  <c r="BX31" i="8"/>
  <c r="BY31" i="8"/>
  <c r="BZ31" i="8"/>
  <c r="CA31" i="8"/>
  <c r="BT32" i="8"/>
  <c r="BU32" i="8"/>
  <c r="BV32" i="8"/>
  <c r="BW32" i="8"/>
  <c r="BX32" i="8"/>
  <c r="BY32" i="8"/>
  <c r="BZ32" i="8"/>
  <c r="CA32" i="8"/>
  <c r="BT33" i="8"/>
  <c r="BU33" i="8"/>
  <c r="BV33" i="8"/>
  <c r="BW33" i="8"/>
  <c r="BX33" i="8"/>
  <c r="BY33" i="8"/>
  <c r="BZ33" i="8"/>
  <c r="CA33" i="8"/>
  <c r="BT34" i="8"/>
  <c r="BU34" i="8"/>
  <c r="BV34" i="8"/>
  <c r="BW34" i="8"/>
  <c r="BX34" i="8"/>
  <c r="BY34" i="8"/>
  <c r="BZ34" i="8"/>
  <c r="CA34" i="8"/>
  <c r="BT35" i="8"/>
  <c r="BU35" i="8"/>
  <c r="BV35" i="8"/>
  <c r="BW35" i="8"/>
  <c r="BX35" i="8"/>
  <c r="BY35" i="8"/>
  <c r="BZ35" i="8"/>
  <c r="CA35" i="8"/>
  <c r="BT36" i="8"/>
  <c r="BU36" i="8"/>
  <c r="BV36" i="8"/>
  <c r="BW36" i="8"/>
  <c r="BX36" i="8"/>
  <c r="BY36" i="8"/>
  <c r="BZ36" i="8"/>
  <c r="CA36" i="8"/>
  <c r="BT37" i="8"/>
  <c r="BU37" i="8"/>
  <c r="BV37" i="8"/>
  <c r="BW37" i="8"/>
  <c r="BX37" i="8"/>
  <c r="BY37" i="8"/>
  <c r="BZ37" i="8"/>
  <c r="CA37" i="8"/>
  <c r="BT38" i="8"/>
  <c r="BU38" i="8"/>
  <c r="BV38" i="8"/>
  <c r="BW38" i="8"/>
  <c r="BX38" i="8"/>
  <c r="BY38" i="8"/>
  <c r="BZ38" i="8"/>
  <c r="CA38" i="8"/>
  <c r="BT39" i="8"/>
  <c r="BU39" i="8"/>
  <c r="BV39" i="8"/>
  <c r="BW39" i="8"/>
  <c r="BX39" i="8"/>
  <c r="BY39" i="8"/>
  <c r="BZ39" i="8"/>
  <c r="CA39" i="8"/>
  <c r="BT40" i="8"/>
  <c r="BU40" i="8"/>
  <c r="BV40" i="8"/>
  <c r="BW40" i="8"/>
  <c r="BX40" i="8"/>
  <c r="BY40" i="8"/>
  <c r="BZ40" i="8"/>
  <c r="CA40" i="8"/>
  <c r="BT41" i="8"/>
  <c r="BU41" i="8"/>
  <c r="BV41" i="8"/>
  <c r="BW41" i="8"/>
  <c r="BX41" i="8"/>
  <c r="BY41" i="8"/>
  <c r="BZ41" i="8"/>
  <c r="CA41" i="8"/>
  <c r="BT42" i="8"/>
  <c r="BU42" i="8"/>
  <c r="BV42" i="8"/>
  <c r="BW42" i="8"/>
  <c r="BX42" i="8"/>
  <c r="BY42" i="8"/>
  <c r="BZ42" i="8"/>
  <c r="CA42" i="8"/>
  <c r="BT43" i="8"/>
  <c r="BU43" i="8"/>
  <c r="BV43" i="8"/>
  <c r="BW43" i="8"/>
  <c r="BX43" i="8"/>
  <c r="BY43" i="8"/>
  <c r="BZ43" i="8"/>
  <c r="CA43" i="8"/>
  <c r="BT44" i="8"/>
  <c r="BU44" i="8"/>
  <c r="BV44" i="8"/>
  <c r="BW44" i="8"/>
  <c r="BX44" i="8"/>
  <c r="BY44" i="8"/>
  <c r="BZ44" i="8"/>
  <c r="CA44" i="8"/>
  <c r="BT45" i="8"/>
  <c r="BU45" i="8"/>
  <c r="BV45" i="8"/>
  <c r="BW45" i="8"/>
  <c r="BX45" i="8"/>
  <c r="BY45" i="8"/>
  <c r="BZ45" i="8"/>
  <c r="CA45" i="8"/>
  <c r="BT46" i="8"/>
  <c r="BU46" i="8"/>
  <c r="BV46" i="8"/>
  <c r="BW46" i="8"/>
  <c r="BX46" i="8"/>
  <c r="BY46" i="8"/>
  <c r="BZ46" i="8"/>
  <c r="CA46" i="8"/>
  <c r="BT47" i="8"/>
  <c r="BU47" i="8"/>
  <c r="BV47" i="8"/>
  <c r="BW47" i="8"/>
  <c r="BX47" i="8"/>
  <c r="BY47" i="8"/>
  <c r="BZ47" i="8"/>
  <c r="CA47" i="8"/>
  <c r="BT48" i="8"/>
  <c r="BU48" i="8"/>
  <c r="BV48" i="8"/>
  <c r="BW48" i="8"/>
  <c r="BX48" i="8"/>
  <c r="BY48" i="8"/>
  <c r="BZ48" i="8"/>
  <c r="CA48" i="8"/>
  <c r="BT49" i="8"/>
  <c r="BU49" i="8"/>
  <c r="BV49" i="8"/>
  <c r="BW49" i="8"/>
  <c r="BX49" i="8"/>
  <c r="BY49" i="8"/>
  <c r="BZ49" i="8"/>
  <c r="CA49" i="8"/>
  <c r="BT50" i="8"/>
  <c r="BU50" i="8"/>
  <c r="BV50" i="8"/>
  <c r="BW50" i="8"/>
  <c r="BX50" i="8"/>
  <c r="BY50" i="8"/>
  <c r="BZ50" i="8"/>
  <c r="CA50" i="8"/>
  <c r="BT51" i="8"/>
  <c r="BU51" i="8"/>
  <c r="BV51" i="8"/>
  <c r="BW51" i="8"/>
  <c r="BX51" i="8"/>
  <c r="BY51" i="8"/>
  <c r="BZ51" i="8"/>
  <c r="CA51" i="8"/>
  <c r="BT52" i="8"/>
  <c r="BU52" i="8"/>
  <c r="BV52" i="8"/>
  <c r="BW52" i="8"/>
  <c r="BX52" i="8"/>
  <c r="BY52" i="8"/>
  <c r="BZ52" i="8"/>
  <c r="CA52" i="8"/>
  <c r="BT53" i="8"/>
  <c r="BU53" i="8"/>
  <c r="BV53" i="8"/>
  <c r="BW53" i="8"/>
  <c r="BX53" i="8"/>
  <c r="BY53" i="8"/>
  <c r="BZ53" i="8"/>
  <c r="CA53" i="8"/>
  <c r="BT54" i="8"/>
  <c r="BU54" i="8"/>
  <c r="BV54" i="8"/>
  <c r="BW54" i="8"/>
  <c r="BX54" i="8"/>
  <c r="BY54" i="8"/>
  <c r="BZ54" i="8"/>
  <c r="CA54" i="8"/>
  <c r="BT55" i="8"/>
  <c r="BU55" i="8"/>
  <c r="BV55" i="8"/>
  <c r="BW55" i="8"/>
  <c r="BX55" i="8"/>
  <c r="BY55" i="8"/>
  <c r="BZ55" i="8"/>
  <c r="CA55" i="8"/>
  <c r="BT56" i="8"/>
  <c r="BU56" i="8"/>
  <c r="BV56" i="8"/>
  <c r="BW56" i="8"/>
  <c r="BX56" i="8"/>
  <c r="BY56" i="8"/>
  <c r="BZ56" i="8"/>
  <c r="CA56" i="8"/>
  <c r="BT57" i="8"/>
  <c r="BU57" i="8"/>
  <c r="BV57" i="8"/>
  <c r="BW57" i="8"/>
  <c r="BX57" i="8"/>
  <c r="BY57" i="8"/>
  <c r="BZ57" i="8"/>
  <c r="CA57" i="8"/>
  <c r="BT58" i="8"/>
  <c r="BU58" i="8"/>
  <c r="BV58" i="8"/>
  <c r="BW58" i="8"/>
  <c r="BX58" i="8"/>
  <c r="BY58" i="8"/>
  <c r="BZ58" i="8"/>
  <c r="CA58" i="8"/>
  <c r="BT59" i="8"/>
  <c r="BU59" i="8"/>
  <c r="BV59" i="8"/>
  <c r="BW59" i="8"/>
  <c r="BX59" i="8"/>
  <c r="BY59" i="8"/>
  <c r="BZ59" i="8"/>
  <c r="CA59" i="8"/>
  <c r="BT60" i="8"/>
  <c r="BU60" i="8"/>
  <c r="BV60" i="8"/>
  <c r="BW60" i="8"/>
  <c r="BX60" i="8"/>
  <c r="BY60" i="8"/>
  <c r="BZ60" i="8"/>
  <c r="CA60" i="8"/>
  <c r="BT61" i="8"/>
  <c r="BU61" i="8"/>
  <c r="BV61" i="8"/>
  <c r="BW61" i="8"/>
  <c r="BX61" i="8"/>
  <c r="BY61" i="8"/>
  <c r="BZ61" i="8"/>
  <c r="CA61" i="8"/>
  <c r="BT62" i="8"/>
  <c r="BU62" i="8"/>
  <c r="BV62" i="8"/>
  <c r="BW62" i="8"/>
  <c r="BX62" i="8"/>
  <c r="BY62" i="8"/>
  <c r="BZ62" i="8"/>
  <c r="CA62" i="8"/>
  <c r="BT63" i="8"/>
  <c r="BU63" i="8"/>
  <c r="BV63" i="8"/>
  <c r="BW63" i="8"/>
  <c r="BX63" i="8"/>
  <c r="BY63" i="8"/>
  <c r="BZ63" i="8"/>
  <c r="CA63" i="8"/>
  <c r="BT64" i="8"/>
  <c r="BU64" i="8"/>
  <c r="BV64" i="8"/>
  <c r="BW64" i="8"/>
  <c r="BX64" i="8"/>
  <c r="BY64" i="8"/>
  <c r="BZ64" i="8"/>
  <c r="CA64" i="8"/>
  <c r="BT65" i="8"/>
  <c r="BU65" i="8"/>
  <c r="BV65" i="8"/>
  <c r="BW65" i="8"/>
  <c r="BX65" i="8"/>
  <c r="BY65" i="8"/>
  <c r="BZ65" i="8"/>
  <c r="CA65" i="8"/>
  <c r="BT66" i="8"/>
  <c r="BU66" i="8"/>
  <c r="BV66" i="8"/>
  <c r="BW66" i="8"/>
  <c r="BX66" i="8"/>
  <c r="BY66" i="8"/>
  <c r="BZ66" i="8"/>
  <c r="CA66" i="8"/>
  <c r="BT67" i="8"/>
  <c r="BU67" i="8"/>
  <c r="BV67" i="8"/>
  <c r="BW67" i="8"/>
  <c r="BX67" i="8"/>
  <c r="BY67" i="8"/>
  <c r="BZ67" i="8"/>
  <c r="CA67" i="8"/>
  <c r="BT68" i="8"/>
  <c r="BU68" i="8"/>
  <c r="BV68" i="8"/>
  <c r="BW68" i="8"/>
  <c r="BX68" i="8"/>
  <c r="BY68" i="8"/>
  <c r="BZ68" i="8"/>
  <c r="CA68" i="8"/>
  <c r="BT69" i="8"/>
  <c r="BU69" i="8"/>
  <c r="BV69" i="8"/>
  <c r="BW69" i="8"/>
  <c r="BX69" i="8"/>
  <c r="BY69" i="8"/>
  <c r="BZ69" i="8"/>
  <c r="CA69" i="8"/>
  <c r="BT70" i="8"/>
  <c r="BU70" i="8"/>
  <c r="BV70" i="8"/>
  <c r="BW70" i="8"/>
  <c r="BX70" i="8"/>
  <c r="BY70" i="8"/>
  <c r="BZ70" i="8"/>
  <c r="CA70" i="8"/>
  <c r="BT71" i="8"/>
  <c r="BU71" i="8"/>
  <c r="BV71" i="8"/>
  <c r="BW71" i="8"/>
  <c r="BX71" i="8"/>
  <c r="BY71" i="8"/>
  <c r="BZ71" i="8"/>
  <c r="CA71" i="8"/>
  <c r="BT72" i="8"/>
  <c r="BU72" i="8"/>
  <c r="BV72" i="8"/>
  <c r="BW72" i="8"/>
  <c r="BX72" i="8"/>
  <c r="BY72" i="8"/>
  <c r="BZ72" i="8"/>
  <c r="CA72" i="8"/>
  <c r="BT73" i="8"/>
  <c r="BU73" i="8"/>
  <c r="BV73" i="8"/>
  <c r="BW73" i="8"/>
  <c r="BX73" i="8"/>
  <c r="BY73" i="8"/>
  <c r="BZ73" i="8"/>
  <c r="CA73" i="8"/>
  <c r="BT74" i="8"/>
  <c r="BU74" i="8"/>
  <c r="BV74" i="8"/>
  <c r="BW74" i="8"/>
  <c r="BX74" i="8"/>
  <c r="BY74" i="8"/>
  <c r="BZ74" i="8"/>
  <c r="CA74" i="8"/>
  <c r="BT75" i="8"/>
  <c r="BU75" i="8"/>
  <c r="BV75" i="8"/>
  <c r="BW75" i="8"/>
  <c r="BX75" i="8"/>
  <c r="BY75" i="8"/>
  <c r="BZ75" i="8"/>
  <c r="CA75" i="8"/>
  <c r="BT76" i="8"/>
  <c r="BU76" i="8"/>
  <c r="BV76" i="8"/>
  <c r="BW76" i="8"/>
  <c r="BX76" i="8"/>
  <c r="BY76" i="8"/>
  <c r="BZ76" i="8"/>
  <c r="CA76" i="8"/>
  <c r="BT77" i="8"/>
  <c r="BU77" i="8"/>
  <c r="BV77" i="8"/>
  <c r="BW77" i="8"/>
  <c r="BX77" i="8"/>
  <c r="BY77" i="8"/>
  <c r="BZ77" i="8"/>
  <c r="CA77" i="8"/>
  <c r="BT78" i="8"/>
  <c r="BU78" i="8"/>
  <c r="BV78" i="8"/>
  <c r="BW78" i="8"/>
  <c r="BX78" i="8"/>
  <c r="BY78" i="8"/>
  <c r="BZ78" i="8"/>
  <c r="CA78" i="8"/>
  <c r="BU6" i="8"/>
  <c r="BV6" i="8"/>
  <c r="BW6" i="8"/>
  <c r="BX6" i="8"/>
  <c r="BY6" i="8"/>
  <c r="BZ6" i="8"/>
  <c r="CA6" i="8"/>
  <c r="BT6" i="8"/>
  <c r="BU5" i="8"/>
  <c r="BV5" i="8"/>
  <c r="BW5" i="8"/>
  <c r="BX5" i="8"/>
  <c r="BY5" i="8"/>
  <c r="BZ5" i="8"/>
  <c r="CA5" i="8"/>
  <c r="BT5" i="8"/>
  <c r="BM7" i="8"/>
  <c r="BN7" i="8"/>
  <c r="BO7" i="8"/>
  <c r="BP7" i="8"/>
  <c r="BQ7" i="8"/>
  <c r="BR7" i="8"/>
  <c r="BS7" i="8"/>
  <c r="BM8" i="8"/>
  <c r="BN8" i="8"/>
  <c r="BO8" i="8"/>
  <c r="BP8" i="8"/>
  <c r="BQ8" i="8"/>
  <c r="BR8" i="8"/>
  <c r="BS8" i="8"/>
  <c r="BM9" i="8"/>
  <c r="BN9" i="8"/>
  <c r="BO9" i="8"/>
  <c r="BP9" i="8"/>
  <c r="BQ9" i="8"/>
  <c r="BR9" i="8"/>
  <c r="BS9" i="8"/>
  <c r="BM10" i="8"/>
  <c r="BN10" i="8"/>
  <c r="BO10" i="8"/>
  <c r="BP10" i="8"/>
  <c r="BQ10" i="8"/>
  <c r="BR10" i="8"/>
  <c r="BS10" i="8"/>
  <c r="BM11" i="8"/>
  <c r="BN11" i="8"/>
  <c r="BO11" i="8"/>
  <c r="BP11" i="8"/>
  <c r="BQ11" i="8"/>
  <c r="BR11" i="8"/>
  <c r="BS11" i="8"/>
  <c r="BM12" i="8"/>
  <c r="BN12" i="8"/>
  <c r="BO12" i="8"/>
  <c r="BP12" i="8"/>
  <c r="BQ12" i="8"/>
  <c r="BR12" i="8"/>
  <c r="BS12" i="8"/>
  <c r="BM13" i="8"/>
  <c r="BN13" i="8"/>
  <c r="BO13" i="8"/>
  <c r="BP13" i="8"/>
  <c r="BQ13" i="8"/>
  <c r="BR13" i="8"/>
  <c r="BS13" i="8"/>
  <c r="BM14" i="8"/>
  <c r="BN14" i="8"/>
  <c r="BO14" i="8"/>
  <c r="BP14" i="8"/>
  <c r="BQ14" i="8"/>
  <c r="BR14" i="8"/>
  <c r="BS14" i="8"/>
  <c r="BM15" i="8"/>
  <c r="BN15" i="8"/>
  <c r="BO15" i="8"/>
  <c r="BP15" i="8"/>
  <c r="BQ15" i="8"/>
  <c r="BR15" i="8"/>
  <c r="BS15" i="8"/>
  <c r="BM16" i="8"/>
  <c r="BN16" i="8"/>
  <c r="BO16" i="8"/>
  <c r="BP16" i="8"/>
  <c r="BQ16" i="8"/>
  <c r="BR16" i="8"/>
  <c r="BS16" i="8"/>
  <c r="BM17" i="8"/>
  <c r="BN17" i="8"/>
  <c r="BO17" i="8"/>
  <c r="BP17" i="8"/>
  <c r="BQ17" i="8"/>
  <c r="BR17" i="8"/>
  <c r="BS17" i="8"/>
  <c r="BM18" i="8"/>
  <c r="BN18" i="8"/>
  <c r="BO18" i="8"/>
  <c r="BP18" i="8"/>
  <c r="BQ18" i="8"/>
  <c r="BR18" i="8"/>
  <c r="BS18" i="8"/>
  <c r="BM19" i="8"/>
  <c r="BN19" i="8"/>
  <c r="BO19" i="8"/>
  <c r="BP19" i="8"/>
  <c r="BQ19" i="8"/>
  <c r="BR19" i="8"/>
  <c r="BS19" i="8"/>
  <c r="BM20" i="8"/>
  <c r="BN20" i="8"/>
  <c r="BO20" i="8"/>
  <c r="BP20" i="8"/>
  <c r="BQ20" i="8"/>
  <c r="BR20" i="8"/>
  <c r="BS20" i="8"/>
  <c r="BM21" i="8"/>
  <c r="BN21" i="8"/>
  <c r="BO21" i="8"/>
  <c r="BP21" i="8"/>
  <c r="BQ21" i="8"/>
  <c r="BR21" i="8"/>
  <c r="BS21" i="8"/>
  <c r="BM22" i="8"/>
  <c r="BN22" i="8"/>
  <c r="BO22" i="8"/>
  <c r="BP22" i="8"/>
  <c r="BQ22" i="8"/>
  <c r="BR22" i="8"/>
  <c r="BS22" i="8"/>
  <c r="BM23" i="8"/>
  <c r="BN23" i="8"/>
  <c r="BO23" i="8"/>
  <c r="BP23" i="8"/>
  <c r="BQ23" i="8"/>
  <c r="BR23" i="8"/>
  <c r="BS23" i="8"/>
  <c r="BM24" i="8"/>
  <c r="BN24" i="8"/>
  <c r="BO24" i="8"/>
  <c r="BP24" i="8"/>
  <c r="BQ24" i="8"/>
  <c r="BR24" i="8"/>
  <c r="BS24" i="8"/>
  <c r="BM25" i="8"/>
  <c r="BN25" i="8"/>
  <c r="BO25" i="8"/>
  <c r="BP25" i="8"/>
  <c r="BQ25" i="8"/>
  <c r="BR25" i="8"/>
  <c r="BS25" i="8"/>
  <c r="BM26" i="8"/>
  <c r="BN26" i="8"/>
  <c r="BO26" i="8"/>
  <c r="BP26" i="8"/>
  <c r="BQ26" i="8"/>
  <c r="BR26" i="8"/>
  <c r="BS26" i="8"/>
  <c r="BM27" i="8"/>
  <c r="BN27" i="8"/>
  <c r="BO27" i="8"/>
  <c r="BP27" i="8"/>
  <c r="BQ27" i="8"/>
  <c r="BR27" i="8"/>
  <c r="BS27" i="8"/>
  <c r="BM28" i="8"/>
  <c r="BN28" i="8"/>
  <c r="BO28" i="8"/>
  <c r="BP28" i="8"/>
  <c r="BQ28" i="8"/>
  <c r="BR28" i="8"/>
  <c r="BS28" i="8"/>
  <c r="BM29" i="8"/>
  <c r="BN29" i="8"/>
  <c r="BO29" i="8"/>
  <c r="BP29" i="8"/>
  <c r="BQ29" i="8"/>
  <c r="BR29" i="8"/>
  <c r="BS29" i="8"/>
  <c r="BM30" i="8"/>
  <c r="BN30" i="8"/>
  <c r="BO30" i="8"/>
  <c r="BP30" i="8"/>
  <c r="BQ30" i="8"/>
  <c r="BR30" i="8"/>
  <c r="BS30" i="8"/>
  <c r="BM31" i="8"/>
  <c r="BN31" i="8"/>
  <c r="BO31" i="8"/>
  <c r="BP31" i="8"/>
  <c r="BQ31" i="8"/>
  <c r="BR31" i="8"/>
  <c r="BS31" i="8"/>
  <c r="BM32" i="8"/>
  <c r="BN32" i="8"/>
  <c r="BO32" i="8"/>
  <c r="BP32" i="8"/>
  <c r="BQ32" i="8"/>
  <c r="BR32" i="8"/>
  <c r="BS32" i="8"/>
  <c r="BM33" i="8"/>
  <c r="BN33" i="8"/>
  <c r="BO33" i="8"/>
  <c r="BP33" i="8"/>
  <c r="BQ33" i="8"/>
  <c r="BR33" i="8"/>
  <c r="BS33" i="8"/>
  <c r="BM34" i="8"/>
  <c r="BN34" i="8"/>
  <c r="BO34" i="8"/>
  <c r="BP34" i="8"/>
  <c r="BQ34" i="8"/>
  <c r="BR34" i="8"/>
  <c r="BS34" i="8"/>
  <c r="BM35" i="8"/>
  <c r="BN35" i="8"/>
  <c r="BO35" i="8"/>
  <c r="BP35" i="8"/>
  <c r="BQ35" i="8"/>
  <c r="BR35" i="8"/>
  <c r="BS35" i="8"/>
  <c r="BM36" i="8"/>
  <c r="BN36" i="8"/>
  <c r="BO36" i="8"/>
  <c r="BP36" i="8"/>
  <c r="BQ36" i="8"/>
  <c r="BR36" i="8"/>
  <c r="BS36" i="8"/>
  <c r="BM37" i="8"/>
  <c r="BN37" i="8"/>
  <c r="BO37" i="8"/>
  <c r="BP37" i="8"/>
  <c r="BQ37" i="8"/>
  <c r="BR37" i="8"/>
  <c r="BS37" i="8"/>
  <c r="BM38" i="8"/>
  <c r="BN38" i="8"/>
  <c r="BO38" i="8"/>
  <c r="BP38" i="8"/>
  <c r="BQ38" i="8"/>
  <c r="BR38" i="8"/>
  <c r="BS38" i="8"/>
  <c r="BM39" i="8"/>
  <c r="BN39" i="8"/>
  <c r="BO39" i="8"/>
  <c r="BP39" i="8"/>
  <c r="BQ39" i="8"/>
  <c r="BR39" i="8"/>
  <c r="BS39" i="8"/>
  <c r="BM40" i="8"/>
  <c r="BN40" i="8"/>
  <c r="BO40" i="8"/>
  <c r="BP40" i="8"/>
  <c r="BQ40" i="8"/>
  <c r="BR40" i="8"/>
  <c r="BS40" i="8"/>
  <c r="BM41" i="8"/>
  <c r="BN41" i="8"/>
  <c r="BO41" i="8"/>
  <c r="BP41" i="8"/>
  <c r="BQ41" i="8"/>
  <c r="BR41" i="8"/>
  <c r="BS41" i="8"/>
  <c r="BM42" i="8"/>
  <c r="BN42" i="8"/>
  <c r="BO42" i="8"/>
  <c r="BP42" i="8"/>
  <c r="BQ42" i="8"/>
  <c r="BR42" i="8"/>
  <c r="BS42" i="8"/>
  <c r="BM43" i="8"/>
  <c r="BN43" i="8"/>
  <c r="BO43" i="8"/>
  <c r="BP43" i="8"/>
  <c r="BQ43" i="8"/>
  <c r="BR43" i="8"/>
  <c r="BS43" i="8"/>
  <c r="BM44" i="8"/>
  <c r="BN44" i="8"/>
  <c r="BO44" i="8"/>
  <c r="BP44" i="8"/>
  <c r="BQ44" i="8"/>
  <c r="BR44" i="8"/>
  <c r="BS44" i="8"/>
  <c r="BM45" i="8"/>
  <c r="BN45" i="8"/>
  <c r="BO45" i="8"/>
  <c r="BP45" i="8"/>
  <c r="BQ45" i="8"/>
  <c r="BR45" i="8"/>
  <c r="BS45" i="8"/>
  <c r="BM46" i="8"/>
  <c r="BN46" i="8"/>
  <c r="BO46" i="8"/>
  <c r="BP46" i="8"/>
  <c r="BQ46" i="8"/>
  <c r="BR46" i="8"/>
  <c r="BS46" i="8"/>
  <c r="BM47" i="8"/>
  <c r="BN47" i="8"/>
  <c r="BO47" i="8"/>
  <c r="BP47" i="8"/>
  <c r="BQ47" i="8"/>
  <c r="BR47" i="8"/>
  <c r="BS47" i="8"/>
  <c r="BM48" i="8"/>
  <c r="BN48" i="8"/>
  <c r="BO48" i="8"/>
  <c r="BP48" i="8"/>
  <c r="BQ48" i="8"/>
  <c r="BR48" i="8"/>
  <c r="BS48" i="8"/>
  <c r="BM49" i="8"/>
  <c r="BN49" i="8"/>
  <c r="BO49" i="8"/>
  <c r="BP49" i="8"/>
  <c r="BQ49" i="8"/>
  <c r="BR49" i="8"/>
  <c r="BS49" i="8"/>
  <c r="BM50" i="8"/>
  <c r="BN50" i="8"/>
  <c r="BO50" i="8"/>
  <c r="BP50" i="8"/>
  <c r="BQ50" i="8"/>
  <c r="BR50" i="8"/>
  <c r="BS50" i="8"/>
  <c r="BM51" i="8"/>
  <c r="BN51" i="8"/>
  <c r="BO51" i="8"/>
  <c r="BP51" i="8"/>
  <c r="BQ51" i="8"/>
  <c r="BR51" i="8"/>
  <c r="BS51" i="8"/>
  <c r="BM52" i="8"/>
  <c r="BN52" i="8"/>
  <c r="BO52" i="8"/>
  <c r="BP52" i="8"/>
  <c r="BQ52" i="8"/>
  <c r="BR52" i="8"/>
  <c r="BS52" i="8"/>
  <c r="BM53" i="8"/>
  <c r="BN53" i="8"/>
  <c r="BO53" i="8"/>
  <c r="BP53" i="8"/>
  <c r="BQ53" i="8"/>
  <c r="BR53" i="8"/>
  <c r="BS53" i="8"/>
  <c r="BM54" i="8"/>
  <c r="BN54" i="8"/>
  <c r="BO54" i="8"/>
  <c r="BP54" i="8"/>
  <c r="BQ54" i="8"/>
  <c r="BR54" i="8"/>
  <c r="BS54" i="8"/>
  <c r="BM55" i="8"/>
  <c r="BN55" i="8"/>
  <c r="BO55" i="8"/>
  <c r="BP55" i="8"/>
  <c r="BQ55" i="8"/>
  <c r="BR55" i="8"/>
  <c r="BS55" i="8"/>
  <c r="BM56" i="8"/>
  <c r="BN56" i="8"/>
  <c r="BO56" i="8"/>
  <c r="BP56" i="8"/>
  <c r="BQ56" i="8"/>
  <c r="BR56" i="8"/>
  <c r="BS56" i="8"/>
  <c r="BM57" i="8"/>
  <c r="BN57" i="8"/>
  <c r="BO57" i="8"/>
  <c r="BP57" i="8"/>
  <c r="BQ57" i="8"/>
  <c r="BR57" i="8"/>
  <c r="BS57" i="8"/>
  <c r="BM58" i="8"/>
  <c r="BN58" i="8"/>
  <c r="BO58" i="8"/>
  <c r="BP58" i="8"/>
  <c r="BQ58" i="8"/>
  <c r="BR58" i="8"/>
  <c r="BS58" i="8"/>
  <c r="BM59" i="8"/>
  <c r="BN59" i="8"/>
  <c r="BO59" i="8"/>
  <c r="BP59" i="8"/>
  <c r="BQ59" i="8"/>
  <c r="BR59" i="8"/>
  <c r="BS59" i="8"/>
  <c r="BM60" i="8"/>
  <c r="BN60" i="8"/>
  <c r="BO60" i="8"/>
  <c r="BP60" i="8"/>
  <c r="BQ60" i="8"/>
  <c r="BR60" i="8"/>
  <c r="BS60" i="8"/>
  <c r="BM61" i="8"/>
  <c r="BN61" i="8"/>
  <c r="BO61" i="8"/>
  <c r="BP61" i="8"/>
  <c r="BQ61" i="8"/>
  <c r="BR61" i="8"/>
  <c r="BS61" i="8"/>
  <c r="BM62" i="8"/>
  <c r="BN62" i="8"/>
  <c r="BO62" i="8"/>
  <c r="BP62" i="8"/>
  <c r="BQ62" i="8"/>
  <c r="BR62" i="8"/>
  <c r="BS62" i="8"/>
  <c r="BM63" i="8"/>
  <c r="BN63" i="8"/>
  <c r="BO63" i="8"/>
  <c r="BP63" i="8"/>
  <c r="BQ63" i="8"/>
  <c r="BR63" i="8"/>
  <c r="BS63" i="8"/>
  <c r="BM64" i="8"/>
  <c r="BN64" i="8"/>
  <c r="BO64" i="8"/>
  <c r="BP64" i="8"/>
  <c r="BQ64" i="8"/>
  <c r="BR64" i="8"/>
  <c r="BS64" i="8"/>
  <c r="BM65" i="8"/>
  <c r="BN65" i="8"/>
  <c r="BO65" i="8"/>
  <c r="BP65" i="8"/>
  <c r="BQ65" i="8"/>
  <c r="BR65" i="8"/>
  <c r="BS65" i="8"/>
  <c r="BM66" i="8"/>
  <c r="BN66" i="8"/>
  <c r="BO66" i="8"/>
  <c r="BP66" i="8"/>
  <c r="BQ66" i="8"/>
  <c r="BR66" i="8"/>
  <c r="BS66" i="8"/>
  <c r="BM67" i="8"/>
  <c r="BN67" i="8"/>
  <c r="BO67" i="8"/>
  <c r="BP67" i="8"/>
  <c r="BQ67" i="8"/>
  <c r="BR67" i="8"/>
  <c r="BS67" i="8"/>
  <c r="BM68" i="8"/>
  <c r="BN68" i="8"/>
  <c r="BO68" i="8"/>
  <c r="BP68" i="8"/>
  <c r="BQ68" i="8"/>
  <c r="BR68" i="8"/>
  <c r="BS68" i="8"/>
  <c r="BM69" i="8"/>
  <c r="BN69" i="8"/>
  <c r="BO69" i="8"/>
  <c r="BP69" i="8"/>
  <c r="BQ69" i="8"/>
  <c r="BR69" i="8"/>
  <c r="BS69" i="8"/>
  <c r="BM70" i="8"/>
  <c r="BN70" i="8"/>
  <c r="BO70" i="8"/>
  <c r="BP70" i="8"/>
  <c r="BQ70" i="8"/>
  <c r="BR70" i="8"/>
  <c r="BS70" i="8"/>
  <c r="BM71" i="8"/>
  <c r="BN71" i="8"/>
  <c r="BO71" i="8"/>
  <c r="BP71" i="8"/>
  <c r="BQ71" i="8"/>
  <c r="BR71" i="8"/>
  <c r="BS71" i="8"/>
  <c r="BM72" i="8"/>
  <c r="BN72" i="8"/>
  <c r="BO72" i="8"/>
  <c r="BP72" i="8"/>
  <c r="BQ72" i="8"/>
  <c r="BR72" i="8"/>
  <c r="BS72" i="8"/>
  <c r="BM73" i="8"/>
  <c r="BN73" i="8"/>
  <c r="BO73" i="8"/>
  <c r="BP73" i="8"/>
  <c r="BQ73" i="8"/>
  <c r="BR73" i="8"/>
  <c r="BS73" i="8"/>
  <c r="BM74" i="8"/>
  <c r="BN74" i="8"/>
  <c r="BO74" i="8"/>
  <c r="BP74" i="8"/>
  <c r="BQ74" i="8"/>
  <c r="BR74" i="8"/>
  <c r="BS74" i="8"/>
  <c r="BM75" i="8"/>
  <c r="BN75" i="8"/>
  <c r="BO75" i="8"/>
  <c r="BP75" i="8"/>
  <c r="BQ75" i="8"/>
  <c r="BR75" i="8"/>
  <c r="BS75" i="8"/>
  <c r="BM76" i="8"/>
  <c r="BN76" i="8"/>
  <c r="BO76" i="8"/>
  <c r="BP76" i="8"/>
  <c r="BQ76" i="8"/>
  <c r="BR76" i="8"/>
  <c r="BS76" i="8"/>
  <c r="BM77" i="8"/>
  <c r="BN77" i="8"/>
  <c r="BO77" i="8"/>
  <c r="BP77" i="8"/>
  <c r="BQ77" i="8"/>
  <c r="BR77" i="8"/>
  <c r="BS77" i="8"/>
  <c r="BM78" i="8"/>
  <c r="BN78" i="8"/>
  <c r="BO78" i="8"/>
  <c r="BP78" i="8"/>
  <c r="BQ78" i="8"/>
  <c r="BR78" i="8"/>
  <c r="BS78" i="8"/>
  <c r="BN6" i="8"/>
  <c r="BO6" i="8"/>
  <c r="BP6" i="8"/>
  <c r="BQ6" i="8"/>
  <c r="BR6" i="8"/>
  <c r="BS6" i="8"/>
  <c r="BM6" i="8"/>
  <c r="BN5" i="8"/>
  <c r="BO5" i="8"/>
  <c r="BP5" i="8"/>
  <c r="BQ5" i="8"/>
  <c r="BR5" i="8"/>
  <c r="BS5" i="8"/>
  <c r="BM5" i="8"/>
  <c r="BF7" i="8"/>
  <c r="BG7" i="8"/>
  <c r="BH7" i="8"/>
  <c r="BI7" i="8"/>
  <c r="BJ7" i="8"/>
  <c r="BK7" i="8"/>
  <c r="BL7" i="8"/>
  <c r="BF8" i="8"/>
  <c r="BG8" i="8"/>
  <c r="BH8" i="8"/>
  <c r="BI8" i="8"/>
  <c r="BJ8" i="8"/>
  <c r="BK8" i="8"/>
  <c r="BL8" i="8"/>
  <c r="BF9" i="8"/>
  <c r="BG9" i="8"/>
  <c r="BH9" i="8"/>
  <c r="BI9" i="8"/>
  <c r="BJ9" i="8"/>
  <c r="BK9" i="8"/>
  <c r="BL9" i="8"/>
  <c r="BF10" i="8"/>
  <c r="BG10" i="8"/>
  <c r="BH10" i="8"/>
  <c r="BI10" i="8"/>
  <c r="BJ10" i="8"/>
  <c r="BK10" i="8"/>
  <c r="BL10" i="8"/>
  <c r="BF11" i="8"/>
  <c r="BG11" i="8"/>
  <c r="BH11" i="8"/>
  <c r="BI11" i="8"/>
  <c r="BJ11" i="8"/>
  <c r="BK11" i="8"/>
  <c r="BL11" i="8"/>
  <c r="BF12" i="8"/>
  <c r="BG12" i="8"/>
  <c r="BH12" i="8"/>
  <c r="BI12" i="8"/>
  <c r="BJ12" i="8"/>
  <c r="BK12" i="8"/>
  <c r="BL12" i="8"/>
  <c r="BF13" i="8"/>
  <c r="BG13" i="8"/>
  <c r="BH13" i="8"/>
  <c r="BI13" i="8"/>
  <c r="BJ13" i="8"/>
  <c r="BK13" i="8"/>
  <c r="BL13" i="8"/>
  <c r="BF14" i="8"/>
  <c r="BG14" i="8"/>
  <c r="BH14" i="8"/>
  <c r="BI14" i="8"/>
  <c r="BJ14" i="8"/>
  <c r="BK14" i="8"/>
  <c r="BL14" i="8"/>
  <c r="BF15" i="8"/>
  <c r="BG15" i="8"/>
  <c r="BH15" i="8"/>
  <c r="BI15" i="8"/>
  <c r="BJ15" i="8"/>
  <c r="BK15" i="8"/>
  <c r="BL15" i="8"/>
  <c r="BF16" i="8"/>
  <c r="BG16" i="8"/>
  <c r="BH16" i="8"/>
  <c r="BI16" i="8"/>
  <c r="BJ16" i="8"/>
  <c r="BK16" i="8"/>
  <c r="BL16" i="8"/>
  <c r="BF17" i="8"/>
  <c r="BG17" i="8"/>
  <c r="BH17" i="8"/>
  <c r="BI17" i="8"/>
  <c r="BJ17" i="8"/>
  <c r="BK17" i="8"/>
  <c r="BL17" i="8"/>
  <c r="BF18" i="8"/>
  <c r="BG18" i="8"/>
  <c r="BH18" i="8"/>
  <c r="BI18" i="8"/>
  <c r="BJ18" i="8"/>
  <c r="BK18" i="8"/>
  <c r="BL18" i="8"/>
  <c r="BF19" i="8"/>
  <c r="BG19" i="8"/>
  <c r="BH19" i="8"/>
  <c r="BI19" i="8"/>
  <c r="BJ19" i="8"/>
  <c r="BK19" i="8"/>
  <c r="BL19" i="8"/>
  <c r="BF20" i="8"/>
  <c r="BG20" i="8"/>
  <c r="BH20" i="8"/>
  <c r="BI20" i="8"/>
  <c r="BJ20" i="8"/>
  <c r="BK20" i="8"/>
  <c r="BL20" i="8"/>
  <c r="BF21" i="8"/>
  <c r="BG21" i="8"/>
  <c r="BH21" i="8"/>
  <c r="BI21" i="8"/>
  <c r="BJ21" i="8"/>
  <c r="BK21" i="8"/>
  <c r="BL21" i="8"/>
  <c r="BF22" i="8"/>
  <c r="BG22" i="8"/>
  <c r="BH22" i="8"/>
  <c r="BI22" i="8"/>
  <c r="BJ22" i="8"/>
  <c r="BK22" i="8"/>
  <c r="BL22" i="8"/>
  <c r="BF23" i="8"/>
  <c r="BG23" i="8"/>
  <c r="BH23" i="8"/>
  <c r="BI23" i="8"/>
  <c r="BJ23" i="8"/>
  <c r="BK23" i="8"/>
  <c r="BL23" i="8"/>
  <c r="BF24" i="8"/>
  <c r="BG24" i="8"/>
  <c r="BH24" i="8"/>
  <c r="BI24" i="8"/>
  <c r="BJ24" i="8"/>
  <c r="BK24" i="8"/>
  <c r="BL24" i="8"/>
  <c r="BF25" i="8"/>
  <c r="BG25" i="8"/>
  <c r="BH25" i="8"/>
  <c r="BI25" i="8"/>
  <c r="BJ25" i="8"/>
  <c r="BK25" i="8"/>
  <c r="BL25" i="8"/>
  <c r="BF26" i="8"/>
  <c r="BG26" i="8"/>
  <c r="BH26" i="8"/>
  <c r="BI26" i="8"/>
  <c r="BJ26" i="8"/>
  <c r="BK26" i="8"/>
  <c r="BL26" i="8"/>
  <c r="BF27" i="8"/>
  <c r="BG27" i="8"/>
  <c r="BH27" i="8"/>
  <c r="BI27" i="8"/>
  <c r="BJ27" i="8"/>
  <c r="BK27" i="8"/>
  <c r="BL27" i="8"/>
  <c r="BF28" i="8"/>
  <c r="BG28" i="8"/>
  <c r="BH28" i="8"/>
  <c r="BI28" i="8"/>
  <c r="BJ28" i="8"/>
  <c r="BK28" i="8"/>
  <c r="BL28" i="8"/>
  <c r="BF29" i="8"/>
  <c r="BG29" i="8"/>
  <c r="BH29" i="8"/>
  <c r="BI29" i="8"/>
  <c r="BJ29" i="8"/>
  <c r="BK29" i="8"/>
  <c r="BL29" i="8"/>
  <c r="BF30" i="8"/>
  <c r="BG30" i="8"/>
  <c r="BH30" i="8"/>
  <c r="BI30" i="8"/>
  <c r="BJ30" i="8"/>
  <c r="BK30" i="8"/>
  <c r="BL30" i="8"/>
  <c r="BF31" i="8"/>
  <c r="BG31" i="8"/>
  <c r="BH31" i="8"/>
  <c r="BI31" i="8"/>
  <c r="BJ31" i="8"/>
  <c r="BK31" i="8"/>
  <c r="BL31" i="8"/>
  <c r="BF32" i="8"/>
  <c r="BG32" i="8"/>
  <c r="BH32" i="8"/>
  <c r="BI32" i="8"/>
  <c r="BJ32" i="8"/>
  <c r="BK32" i="8"/>
  <c r="BL32" i="8"/>
  <c r="BF33" i="8"/>
  <c r="BG33" i="8"/>
  <c r="BH33" i="8"/>
  <c r="BI33" i="8"/>
  <c r="BJ33" i="8"/>
  <c r="BK33" i="8"/>
  <c r="BL33" i="8"/>
  <c r="BF34" i="8"/>
  <c r="BG34" i="8"/>
  <c r="BH34" i="8"/>
  <c r="BI34" i="8"/>
  <c r="BJ34" i="8"/>
  <c r="BK34" i="8"/>
  <c r="BL34" i="8"/>
  <c r="BF35" i="8"/>
  <c r="BG35" i="8"/>
  <c r="BH35" i="8"/>
  <c r="BI35" i="8"/>
  <c r="BJ35" i="8"/>
  <c r="BK35" i="8"/>
  <c r="BL35" i="8"/>
  <c r="BF36" i="8"/>
  <c r="BG36" i="8"/>
  <c r="BH36" i="8"/>
  <c r="BI36" i="8"/>
  <c r="BJ36" i="8"/>
  <c r="BK36" i="8"/>
  <c r="BL36" i="8"/>
  <c r="BF37" i="8"/>
  <c r="BG37" i="8"/>
  <c r="BH37" i="8"/>
  <c r="BI37" i="8"/>
  <c r="BJ37" i="8"/>
  <c r="BK37" i="8"/>
  <c r="BL37" i="8"/>
  <c r="BF38" i="8"/>
  <c r="BG38" i="8"/>
  <c r="BH38" i="8"/>
  <c r="BI38" i="8"/>
  <c r="BJ38" i="8"/>
  <c r="BK38" i="8"/>
  <c r="BL38" i="8"/>
  <c r="BF39" i="8"/>
  <c r="BG39" i="8"/>
  <c r="BH39" i="8"/>
  <c r="BI39" i="8"/>
  <c r="BJ39" i="8"/>
  <c r="BK39" i="8"/>
  <c r="BL39" i="8"/>
  <c r="BF40" i="8"/>
  <c r="BG40" i="8"/>
  <c r="BH40" i="8"/>
  <c r="BI40" i="8"/>
  <c r="BJ40" i="8"/>
  <c r="BK40" i="8"/>
  <c r="BL40" i="8"/>
  <c r="BF41" i="8"/>
  <c r="BG41" i="8"/>
  <c r="BH41" i="8"/>
  <c r="BI41" i="8"/>
  <c r="BJ41" i="8"/>
  <c r="BK41" i="8"/>
  <c r="BL41" i="8"/>
  <c r="BF42" i="8"/>
  <c r="BG42" i="8"/>
  <c r="BH42" i="8"/>
  <c r="BI42" i="8"/>
  <c r="BJ42" i="8"/>
  <c r="BK42" i="8"/>
  <c r="BL42" i="8"/>
  <c r="BF43" i="8"/>
  <c r="BG43" i="8"/>
  <c r="BH43" i="8"/>
  <c r="BI43" i="8"/>
  <c r="BJ43" i="8"/>
  <c r="BK43" i="8"/>
  <c r="BL43" i="8"/>
  <c r="BF44" i="8"/>
  <c r="BG44" i="8"/>
  <c r="BH44" i="8"/>
  <c r="BI44" i="8"/>
  <c r="BJ44" i="8"/>
  <c r="BK44" i="8"/>
  <c r="BL44" i="8"/>
  <c r="BF45" i="8"/>
  <c r="BG45" i="8"/>
  <c r="BH45" i="8"/>
  <c r="BI45" i="8"/>
  <c r="BJ45" i="8"/>
  <c r="BK45" i="8"/>
  <c r="BL45" i="8"/>
  <c r="BF46" i="8"/>
  <c r="BG46" i="8"/>
  <c r="BH46" i="8"/>
  <c r="BI46" i="8"/>
  <c r="BJ46" i="8"/>
  <c r="BK46" i="8"/>
  <c r="BL46" i="8"/>
  <c r="BF47" i="8"/>
  <c r="BG47" i="8"/>
  <c r="BH47" i="8"/>
  <c r="BI47" i="8"/>
  <c r="BJ47" i="8"/>
  <c r="BK47" i="8"/>
  <c r="BL47" i="8"/>
  <c r="BF48" i="8"/>
  <c r="BG48" i="8"/>
  <c r="BH48" i="8"/>
  <c r="BI48" i="8"/>
  <c r="BJ48" i="8"/>
  <c r="BK48" i="8"/>
  <c r="BL48" i="8"/>
  <c r="BF49" i="8"/>
  <c r="BG49" i="8"/>
  <c r="BH49" i="8"/>
  <c r="BI49" i="8"/>
  <c r="BJ49" i="8"/>
  <c r="BK49" i="8"/>
  <c r="BL49" i="8"/>
  <c r="BF50" i="8"/>
  <c r="BG50" i="8"/>
  <c r="BH50" i="8"/>
  <c r="BI50" i="8"/>
  <c r="BJ50" i="8"/>
  <c r="BK50" i="8"/>
  <c r="BL50" i="8"/>
  <c r="BF51" i="8"/>
  <c r="BG51" i="8"/>
  <c r="BH51" i="8"/>
  <c r="BI51" i="8"/>
  <c r="BJ51" i="8"/>
  <c r="BK51" i="8"/>
  <c r="BL51" i="8"/>
  <c r="BF52" i="8"/>
  <c r="BG52" i="8"/>
  <c r="BH52" i="8"/>
  <c r="BI52" i="8"/>
  <c r="BJ52" i="8"/>
  <c r="BK52" i="8"/>
  <c r="BL52" i="8"/>
  <c r="BF53" i="8"/>
  <c r="BG53" i="8"/>
  <c r="BH53" i="8"/>
  <c r="BI53" i="8"/>
  <c r="BJ53" i="8"/>
  <c r="BK53" i="8"/>
  <c r="BL53" i="8"/>
  <c r="BF54" i="8"/>
  <c r="BG54" i="8"/>
  <c r="BH54" i="8"/>
  <c r="BI54" i="8"/>
  <c r="BJ54" i="8"/>
  <c r="BK54" i="8"/>
  <c r="BL54" i="8"/>
  <c r="BF55" i="8"/>
  <c r="BG55" i="8"/>
  <c r="BH55" i="8"/>
  <c r="BI55" i="8"/>
  <c r="BJ55" i="8"/>
  <c r="BK55" i="8"/>
  <c r="BL55" i="8"/>
  <c r="BF56" i="8"/>
  <c r="BG56" i="8"/>
  <c r="BH56" i="8"/>
  <c r="BI56" i="8"/>
  <c r="BJ56" i="8"/>
  <c r="BK56" i="8"/>
  <c r="BL56" i="8"/>
  <c r="BF57" i="8"/>
  <c r="BG57" i="8"/>
  <c r="BH57" i="8"/>
  <c r="BI57" i="8"/>
  <c r="BJ57" i="8"/>
  <c r="BK57" i="8"/>
  <c r="BL57" i="8"/>
  <c r="BF58" i="8"/>
  <c r="BG58" i="8"/>
  <c r="BH58" i="8"/>
  <c r="BI58" i="8"/>
  <c r="BJ58" i="8"/>
  <c r="BK58" i="8"/>
  <c r="BL58" i="8"/>
  <c r="BF59" i="8"/>
  <c r="BG59" i="8"/>
  <c r="BH59" i="8"/>
  <c r="BI59" i="8"/>
  <c r="BJ59" i="8"/>
  <c r="BK59" i="8"/>
  <c r="BL59" i="8"/>
  <c r="BF60" i="8"/>
  <c r="BG60" i="8"/>
  <c r="BH60" i="8"/>
  <c r="BI60" i="8"/>
  <c r="BJ60" i="8"/>
  <c r="BK60" i="8"/>
  <c r="BL60" i="8"/>
  <c r="BF61" i="8"/>
  <c r="BG61" i="8"/>
  <c r="BH61" i="8"/>
  <c r="BI61" i="8"/>
  <c r="BJ61" i="8"/>
  <c r="BK61" i="8"/>
  <c r="BL61" i="8"/>
  <c r="BF62" i="8"/>
  <c r="BG62" i="8"/>
  <c r="BH62" i="8"/>
  <c r="BI62" i="8"/>
  <c r="BJ62" i="8"/>
  <c r="BK62" i="8"/>
  <c r="BL62" i="8"/>
  <c r="BF63" i="8"/>
  <c r="BG63" i="8"/>
  <c r="BH63" i="8"/>
  <c r="BI63" i="8"/>
  <c r="BJ63" i="8"/>
  <c r="BK63" i="8"/>
  <c r="BL63" i="8"/>
  <c r="BF64" i="8"/>
  <c r="BG64" i="8"/>
  <c r="BH64" i="8"/>
  <c r="BI64" i="8"/>
  <c r="BJ64" i="8"/>
  <c r="BK64" i="8"/>
  <c r="BL64" i="8"/>
  <c r="BF65" i="8"/>
  <c r="BG65" i="8"/>
  <c r="BH65" i="8"/>
  <c r="BI65" i="8"/>
  <c r="BJ65" i="8"/>
  <c r="BK65" i="8"/>
  <c r="BL65" i="8"/>
  <c r="BF66" i="8"/>
  <c r="BG66" i="8"/>
  <c r="BH66" i="8"/>
  <c r="BI66" i="8"/>
  <c r="BJ66" i="8"/>
  <c r="BK66" i="8"/>
  <c r="BL66" i="8"/>
  <c r="BF67" i="8"/>
  <c r="BG67" i="8"/>
  <c r="BH67" i="8"/>
  <c r="BI67" i="8"/>
  <c r="BJ67" i="8"/>
  <c r="BK67" i="8"/>
  <c r="BL67" i="8"/>
  <c r="BF68" i="8"/>
  <c r="BG68" i="8"/>
  <c r="BH68" i="8"/>
  <c r="BI68" i="8"/>
  <c r="BJ68" i="8"/>
  <c r="BK68" i="8"/>
  <c r="BL68" i="8"/>
  <c r="BF69" i="8"/>
  <c r="BG69" i="8"/>
  <c r="BH69" i="8"/>
  <c r="BI69" i="8"/>
  <c r="BJ69" i="8"/>
  <c r="BK69" i="8"/>
  <c r="BL69" i="8"/>
  <c r="BF70" i="8"/>
  <c r="BG70" i="8"/>
  <c r="BH70" i="8"/>
  <c r="BI70" i="8"/>
  <c r="BJ70" i="8"/>
  <c r="BK70" i="8"/>
  <c r="BL70" i="8"/>
  <c r="BF71" i="8"/>
  <c r="BG71" i="8"/>
  <c r="BH71" i="8"/>
  <c r="BI71" i="8"/>
  <c r="BJ71" i="8"/>
  <c r="BK71" i="8"/>
  <c r="BL71" i="8"/>
  <c r="BF72" i="8"/>
  <c r="BG72" i="8"/>
  <c r="BH72" i="8"/>
  <c r="BI72" i="8"/>
  <c r="BJ72" i="8"/>
  <c r="BK72" i="8"/>
  <c r="BL72" i="8"/>
  <c r="BF73" i="8"/>
  <c r="BG73" i="8"/>
  <c r="BH73" i="8"/>
  <c r="BI73" i="8"/>
  <c r="BJ73" i="8"/>
  <c r="BK73" i="8"/>
  <c r="BL73" i="8"/>
  <c r="BF74" i="8"/>
  <c r="BG74" i="8"/>
  <c r="BH74" i="8"/>
  <c r="BI74" i="8"/>
  <c r="BJ74" i="8"/>
  <c r="BK74" i="8"/>
  <c r="BL74" i="8"/>
  <c r="BF75" i="8"/>
  <c r="BG75" i="8"/>
  <c r="BH75" i="8"/>
  <c r="BI75" i="8"/>
  <c r="BJ75" i="8"/>
  <c r="BK75" i="8"/>
  <c r="BL75" i="8"/>
  <c r="BF76" i="8"/>
  <c r="BG76" i="8"/>
  <c r="BH76" i="8"/>
  <c r="BI76" i="8"/>
  <c r="BJ76" i="8"/>
  <c r="BK76" i="8"/>
  <c r="BL76" i="8"/>
  <c r="BF77" i="8"/>
  <c r="BG77" i="8"/>
  <c r="BH77" i="8"/>
  <c r="BI77" i="8"/>
  <c r="BJ77" i="8"/>
  <c r="BK77" i="8"/>
  <c r="BL77" i="8"/>
  <c r="BF78" i="8"/>
  <c r="BG78" i="8"/>
  <c r="BH78" i="8"/>
  <c r="BI78" i="8"/>
  <c r="BJ78" i="8"/>
  <c r="BK78" i="8"/>
  <c r="BL78" i="8"/>
  <c r="BG6" i="8"/>
  <c r="BH6" i="8"/>
  <c r="BI6" i="8"/>
  <c r="BJ6" i="8"/>
  <c r="BK6" i="8"/>
  <c r="BL6" i="8"/>
  <c r="BF6" i="8"/>
  <c r="BG5" i="8"/>
  <c r="BH5" i="8"/>
  <c r="BI5" i="8"/>
  <c r="BJ5" i="8"/>
  <c r="BK5" i="8"/>
  <c r="BL5" i="8"/>
  <c r="BF5" i="8"/>
  <c r="AY7" i="8"/>
  <c r="AZ7" i="8"/>
  <c r="BA7" i="8"/>
  <c r="BB7" i="8"/>
  <c r="BC7" i="8"/>
  <c r="BD7" i="8"/>
  <c r="BE7" i="8"/>
  <c r="AY8" i="8"/>
  <c r="AZ8" i="8"/>
  <c r="BA8" i="8"/>
  <c r="BB8" i="8"/>
  <c r="BC8" i="8"/>
  <c r="BD8" i="8"/>
  <c r="BE8" i="8"/>
  <c r="AY9" i="8"/>
  <c r="AZ9" i="8"/>
  <c r="BA9" i="8"/>
  <c r="BB9" i="8"/>
  <c r="BC9" i="8"/>
  <c r="BD9" i="8"/>
  <c r="BE9" i="8"/>
  <c r="AY10" i="8"/>
  <c r="AZ10" i="8"/>
  <c r="BA10" i="8"/>
  <c r="BB10" i="8"/>
  <c r="BC10" i="8"/>
  <c r="BD10" i="8"/>
  <c r="BE10" i="8"/>
  <c r="AY11" i="8"/>
  <c r="AZ11" i="8"/>
  <c r="BA11" i="8"/>
  <c r="BB11" i="8"/>
  <c r="BC11" i="8"/>
  <c r="BD11" i="8"/>
  <c r="BE11" i="8"/>
  <c r="AY12" i="8"/>
  <c r="AZ12" i="8"/>
  <c r="BA12" i="8"/>
  <c r="BB12" i="8"/>
  <c r="BC12" i="8"/>
  <c r="BD12" i="8"/>
  <c r="BE12" i="8"/>
  <c r="AY13" i="8"/>
  <c r="AZ13" i="8"/>
  <c r="BA13" i="8"/>
  <c r="BB13" i="8"/>
  <c r="BC13" i="8"/>
  <c r="BD13" i="8"/>
  <c r="BE13" i="8"/>
  <c r="AY14" i="8"/>
  <c r="AZ14" i="8"/>
  <c r="BA14" i="8"/>
  <c r="BB14" i="8"/>
  <c r="BC14" i="8"/>
  <c r="BD14" i="8"/>
  <c r="BE14" i="8"/>
  <c r="AY15" i="8"/>
  <c r="AZ15" i="8"/>
  <c r="BA15" i="8"/>
  <c r="BB15" i="8"/>
  <c r="BC15" i="8"/>
  <c r="BD15" i="8"/>
  <c r="BE15" i="8"/>
  <c r="AY16" i="8"/>
  <c r="AZ16" i="8"/>
  <c r="BA16" i="8"/>
  <c r="BB16" i="8"/>
  <c r="BC16" i="8"/>
  <c r="BD16" i="8"/>
  <c r="BE16" i="8"/>
  <c r="AY17" i="8"/>
  <c r="AZ17" i="8"/>
  <c r="BA17" i="8"/>
  <c r="BB17" i="8"/>
  <c r="BC17" i="8"/>
  <c r="BD17" i="8"/>
  <c r="BE17" i="8"/>
  <c r="AY18" i="8"/>
  <c r="AZ18" i="8"/>
  <c r="BA18" i="8"/>
  <c r="BB18" i="8"/>
  <c r="BC18" i="8"/>
  <c r="BD18" i="8"/>
  <c r="BE18" i="8"/>
  <c r="AY19" i="8"/>
  <c r="AZ19" i="8"/>
  <c r="BA19" i="8"/>
  <c r="BB19" i="8"/>
  <c r="BC19" i="8"/>
  <c r="BD19" i="8"/>
  <c r="BE19" i="8"/>
  <c r="AY20" i="8"/>
  <c r="AZ20" i="8"/>
  <c r="BA20" i="8"/>
  <c r="BB20" i="8"/>
  <c r="BC20" i="8"/>
  <c r="BD20" i="8"/>
  <c r="BE20" i="8"/>
  <c r="AY21" i="8"/>
  <c r="AZ21" i="8"/>
  <c r="BA21" i="8"/>
  <c r="BB21" i="8"/>
  <c r="BC21" i="8"/>
  <c r="BD21" i="8"/>
  <c r="BE21" i="8"/>
  <c r="AY22" i="8"/>
  <c r="AZ22" i="8"/>
  <c r="BA22" i="8"/>
  <c r="BB22" i="8"/>
  <c r="BC22" i="8"/>
  <c r="BD22" i="8"/>
  <c r="BE22" i="8"/>
  <c r="AY23" i="8"/>
  <c r="AZ23" i="8"/>
  <c r="BA23" i="8"/>
  <c r="BB23" i="8"/>
  <c r="BC23" i="8"/>
  <c r="BD23" i="8"/>
  <c r="BE23" i="8"/>
  <c r="AY24" i="8"/>
  <c r="AZ24" i="8"/>
  <c r="BA24" i="8"/>
  <c r="BB24" i="8"/>
  <c r="BC24" i="8"/>
  <c r="BD24" i="8"/>
  <c r="BE24" i="8"/>
  <c r="AY25" i="8"/>
  <c r="AZ25" i="8"/>
  <c r="BA25" i="8"/>
  <c r="BB25" i="8"/>
  <c r="BC25" i="8"/>
  <c r="BD25" i="8"/>
  <c r="BE25" i="8"/>
  <c r="AY26" i="8"/>
  <c r="AZ26" i="8"/>
  <c r="BA26" i="8"/>
  <c r="BB26" i="8"/>
  <c r="BC26" i="8"/>
  <c r="BD26" i="8"/>
  <c r="BE26" i="8"/>
  <c r="AY27" i="8"/>
  <c r="AZ27" i="8"/>
  <c r="BA27" i="8"/>
  <c r="BB27" i="8"/>
  <c r="BC27" i="8"/>
  <c r="BD27" i="8"/>
  <c r="BE27" i="8"/>
  <c r="AY28" i="8"/>
  <c r="AZ28" i="8"/>
  <c r="BA28" i="8"/>
  <c r="BB28" i="8"/>
  <c r="BC28" i="8"/>
  <c r="BD28" i="8"/>
  <c r="BE28" i="8"/>
  <c r="AY29" i="8"/>
  <c r="AZ29" i="8"/>
  <c r="BA29" i="8"/>
  <c r="BB29" i="8"/>
  <c r="BC29" i="8"/>
  <c r="BD29" i="8"/>
  <c r="BE29" i="8"/>
  <c r="AY30" i="8"/>
  <c r="AZ30" i="8"/>
  <c r="BA30" i="8"/>
  <c r="BB30" i="8"/>
  <c r="BC30" i="8"/>
  <c r="BD30" i="8"/>
  <c r="BE30" i="8"/>
  <c r="AY31" i="8"/>
  <c r="AZ31" i="8"/>
  <c r="BA31" i="8"/>
  <c r="BB31" i="8"/>
  <c r="BC31" i="8"/>
  <c r="BD31" i="8"/>
  <c r="BE31" i="8"/>
  <c r="AY32" i="8"/>
  <c r="AZ32" i="8"/>
  <c r="BA32" i="8"/>
  <c r="BB32" i="8"/>
  <c r="BC32" i="8"/>
  <c r="BD32" i="8"/>
  <c r="BE32" i="8"/>
  <c r="AY33" i="8"/>
  <c r="AZ33" i="8"/>
  <c r="BA33" i="8"/>
  <c r="BB33" i="8"/>
  <c r="BC33" i="8"/>
  <c r="BD33" i="8"/>
  <c r="BE33" i="8"/>
  <c r="AY34" i="8"/>
  <c r="AZ34" i="8"/>
  <c r="BA34" i="8"/>
  <c r="BB34" i="8"/>
  <c r="BC34" i="8"/>
  <c r="BD34" i="8"/>
  <c r="BE34" i="8"/>
  <c r="AY35" i="8"/>
  <c r="AZ35" i="8"/>
  <c r="BA35" i="8"/>
  <c r="BB35" i="8"/>
  <c r="BC35" i="8"/>
  <c r="BD35" i="8"/>
  <c r="BE35" i="8"/>
  <c r="AY36" i="8"/>
  <c r="AZ36" i="8"/>
  <c r="BA36" i="8"/>
  <c r="BB36" i="8"/>
  <c r="BC36" i="8"/>
  <c r="BD36" i="8"/>
  <c r="BE36" i="8"/>
  <c r="AY37" i="8"/>
  <c r="AZ37" i="8"/>
  <c r="BA37" i="8"/>
  <c r="BB37" i="8"/>
  <c r="BC37" i="8"/>
  <c r="BD37" i="8"/>
  <c r="BE37" i="8"/>
  <c r="AY38" i="8"/>
  <c r="AZ38" i="8"/>
  <c r="BA38" i="8"/>
  <c r="BB38" i="8"/>
  <c r="BC38" i="8"/>
  <c r="BD38" i="8"/>
  <c r="BE38" i="8"/>
  <c r="AY39" i="8"/>
  <c r="AZ39" i="8"/>
  <c r="BA39" i="8"/>
  <c r="BB39" i="8"/>
  <c r="BC39" i="8"/>
  <c r="BD39" i="8"/>
  <c r="BE39" i="8"/>
  <c r="AY40" i="8"/>
  <c r="AZ40" i="8"/>
  <c r="BA40" i="8"/>
  <c r="BB40" i="8"/>
  <c r="BC40" i="8"/>
  <c r="BD40" i="8"/>
  <c r="BE40" i="8"/>
  <c r="AY41" i="8"/>
  <c r="AZ41" i="8"/>
  <c r="BA41" i="8"/>
  <c r="BB41" i="8"/>
  <c r="BC41" i="8"/>
  <c r="BD41" i="8"/>
  <c r="BE41" i="8"/>
  <c r="AY42" i="8"/>
  <c r="AZ42" i="8"/>
  <c r="BA42" i="8"/>
  <c r="BB42" i="8"/>
  <c r="BC42" i="8"/>
  <c r="BD42" i="8"/>
  <c r="BE42" i="8"/>
  <c r="AY43" i="8"/>
  <c r="AZ43" i="8"/>
  <c r="BA43" i="8"/>
  <c r="BB43" i="8"/>
  <c r="BC43" i="8"/>
  <c r="BD43" i="8"/>
  <c r="BE43" i="8"/>
  <c r="AY44" i="8"/>
  <c r="AZ44" i="8"/>
  <c r="BA44" i="8"/>
  <c r="BB44" i="8"/>
  <c r="BC44" i="8"/>
  <c r="BD44" i="8"/>
  <c r="BE44" i="8"/>
  <c r="AY45" i="8"/>
  <c r="AZ45" i="8"/>
  <c r="BA45" i="8"/>
  <c r="BB45" i="8"/>
  <c r="BC45" i="8"/>
  <c r="BD45" i="8"/>
  <c r="BE45" i="8"/>
  <c r="AY46" i="8"/>
  <c r="AZ46" i="8"/>
  <c r="BA46" i="8"/>
  <c r="BB46" i="8"/>
  <c r="BC46" i="8"/>
  <c r="BD46" i="8"/>
  <c r="BE46" i="8"/>
  <c r="AY47" i="8"/>
  <c r="AZ47" i="8"/>
  <c r="BA47" i="8"/>
  <c r="BB47" i="8"/>
  <c r="BC47" i="8"/>
  <c r="BD47" i="8"/>
  <c r="BE47" i="8"/>
  <c r="AY48" i="8"/>
  <c r="AZ48" i="8"/>
  <c r="BA48" i="8"/>
  <c r="BB48" i="8"/>
  <c r="BC48" i="8"/>
  <c r="BD48" i="8"/>
  <c r="BE48" i="8"/>
  <c r="AY49" i="8"/>
  <c r="AZ49" i="8"/>
  <c r="BA49" i="8"/>
  <c r="BB49" i="8"/>
  <c r="BC49" i="8"/>
  <c r="BD49" i="8"/>
  <c r="BE49" i="8"/>
  <c r="AY50" i="8"/>
  <c r="AZ50" i="8"/>
  <c r="BA50" i="8"/>
  <c r="BB50" i="8"/>
  <c r="BC50" i="8"/>
  <c r="BD50" i="8"/>
  <c r="BE50" i="8"/>
  <c r="AY51" i="8"/>
  <c r="AZ51" i="8"/>
  <c r="BA51" i="8"/>
  <c r="BB51" i="8"/>
  <c r="BC51" i="8"/>
  <c r="BD51" i="8"/>
  <c r="BE51" i="8"/>
  <c r="AY52" i="8"/>
  <c r="AZ52" i="8"/>
  <c r="BA52" i="8"/>
  <c r="BB52" i="8"/>
  <c r="BC52" i="8"/>
  <c r="BD52" i="8"/>
  <c r="BE52" i="8"/>
  <c r="AY53" i="8"/>
  <c r="AZ53" i="8"/>
  <c r="BA53" i="8"/>
  <c r="BB53" i="8"/>
  <c r="BC53" i="8"/>
  <c r="BD53" i="8"/>
  <c r="BE53" i="8"/>
  <c r="AY54" i="8"/>
  <c r="AZ54" i="8"/>
  <c r="BA54" i="8"/>
  <c r="BB54" i="8"/>
  <c r="BC54" i="8"/>
  <c r="BD54" i="8"/>
  <c r="BE54" i="8"/>
  <c r="AY55" i="8"/>
  <c r="AZ55" i="8"/>
  <c r="BA55" i="8"/>
  <c r="BB55" i="8"/>
  <c r="BC55" i="8"/>
  <c r="BD55" i="8"/>
  <c r="BE55" i="8"/>
  <c r="AY56" i="8"/>
  <c r="AZ56" i="8"/>
  <c r="BA56" i="8"/>
  <c r="BB56" i="8"/>
  <c r="BC56" i="8"/>
  <c r="BD56" i="8"/>
  <c r="BE56" i="8"/>
  <c r="AY57" i="8"/>
  <c r="AZ57" i="8"/>
  <c r="BA57" i="8"/>
  <c r="BB57" i="8"/>
  <c r="BC57" i="8"/>
  <c r="BD57" i="8"/>
  <c r="BE57" i="8"/>
  <c r="AY58" i="8"/>
  <c r="AZ58" i="8"/>
  <c r="BA58" i="8"/>
  <c r="BB58" i="8"/>
  <c r="BC58" i="8"/>
  <c r="BD58" i="8"/>
  <c r="BE58" i="8"/>
  <c r="AY59" i="8"/>
  <c r="AZ59" i="8"/>
  <c r="BA59" i="8"/>
  <c r="BB59" i="8"/>
  <c r="BC59" i="8"/>
  <c r="BD59" i="8"/>
  <c r="BE59" i="8"/>
  <c r="AY60" i="8"/>
  <c r="AZ60" i="8"/>
  <c r="BA60" i="8"/>
  <c r="BB60" i="8"/>
  <c r="BC60" i="8"/>
  <c r="BD60" i="8"/>
  <c r="BE60" i="8"/>
  <c r="AY61" i="8"/>
  <c r="AZ61" i="8"/>
  <c r="BA61" i="8"/>
  <c r="BB61" i="8"/>
  <c r="BC61" i="8"/>
  <c r="BD61" i="8"/>
  <c r="BE61" i="8"/>
  <c r="AY62" i="8"/>
  <c r="AZ62" i="8"/>
  <c r="BA62" i="8"/>
  <c r="BB62" i="8"/>
  <c r="BC62" i="8"/>
  <c r="BD62" i="8"/>
  <c r="BE62" i="8"/>
  <c r="AY63" i="8"/>
  <c r="AZ63" i="8"/>
  <c r="BA63" i="8"/>
  <c r="BB63" i="8"/>
  <c r="BC63" i="8"/>
  <c r="BD63" i="8"/>
  <c r="BE63" i="8"/>
  <c r="AY64" i="8"/>
  <c r="AZ64" i="8"/>
  <c r="BA64" i="8"/>
  <c r="BB64" i="8"/>
  <c r="BC64" i="8"/>
  <c r="BD64" i="8"/>
  <c r="BE64" i="8"/>
  <c r="AY65" i="8"/>
  <c r="AZ65" i="8"/>
  <c r="BA65" i="8"/>
  <c r="BB65" i="8"/>
  <c r="BC65" i="8"/>
  <c r="BD65" i="8"/>
  <c r="BE65" i="8"/>
  <c r="AY66" i="8"/>
  <c r="AZ66" i="8"/>
  <c r="BA66" i="8"/>
  <c r="BB66" i="8"/>
  <c r="BC66" i="8"/>
  <c r="BD66" i="8"/>
  <c r="BE66" i="8"/>
  <c r="AY67" i="8"/>
  <c r="AZ67" i="8"/>
  <c r="BA67" i="8"/>
  <c r="BB67" i="8"/>
  <c r="BC67" i="8"/>
  <c r="BD67" i="8"/>
  <c r="BE67" i="8"/>
  <c r="AY68" i="8"/>
  <c r="AZ68" i="8"/>
  <c r="BA68" i="8"/>
  <c r="BB68" i="8"/>
  <c r="BC68" i="8"/>
  <c r="BD68" i="8"/>
  <c r="BE68" i="8"/>
  <c r="AY69" i="8"/>
  <c r="AZ69" i="8"/>
  <c r="BA69" i="8"/>
  <c r="BB69" i="8"/>
  <c r="BC69" i="8"/>
  <c r="BD69" i="8"/>
  <c r="BE69" i="8"/>
  <c r="AY70" i="8"/>
  <c r="AZ70" i="8"/>
  <c r="BA70" i="8"/>
  <c r="BB70" i="8"/>
  <c r="BC70" i="8"/>
  <c r="BD70" i="8"/>
  <c r="BE70" i="8"/>
  <c r="AY71" i="8"/>
  <c r="AZ71" i="8"/>
  <c r="BA71" i="8"/>
  <c r="BB71" i="8"/>
  <c r="BC71" i="8"/>
  <c r="BD71" i="8"/>
  <c r="BE71" i="8"/>
  <c r="AY72" i="8"/>
  <c r="AZ72" i="8"/>
  <c r="BA72" i="8"/>
  <c r="BB72" i="8"/>
  <c r="BC72" i="8"/>
  <c r="BD72" i="8"/>
  <c r="BE72" i="8"/>
  <c r="AY73" i="8"/>
  <c r="AZ73" i="8"/>
  <c r="BA73" i="8"/>
  <c r="BB73" i="8"/>
  <c r="BC73" i="8"/>
  <c r="BD73" i="8"/>
  <c r="BE73" i="8"/>
  <c r="AY74" i="8"/>
  <c r="AZ74" i="8"/>
  <c r="BA74" i="8"/>
  <c r="BB74" i="8"/>
  <c r="BC74" i="8"/>
  <c r="BD74" i="8"/>
  <c r="BE74" i="8"/>
  <c r="AY75" i="8"/>
  <c r="AZ75" i="8"/>
  <c r="BA75" i="8"/>
  <c r="BB75" i="8"/>
  <c r="BC75" i="8"/>
  <c r="BD75" i="8"/>
  <c r="BE75" i="8"/>
  <c r="AY76" i="8"/>
  <c r="AZ76" i="8"/>
  <c r="BA76" i="8"/>
  <c r="BB76" i="8"/>
  <c r="BC76" i="8"/>
  <c r="BD76" i="8"/>
  <c r="BE76" i="8"/>
  <c r="AY77" i="8"/>
  <c r="AZ77" i="8"/>
  <c r="BA77" i="8"/>
  <c r="BB77" i="8"/>
  <c r="BC77" i="8"/>
  <c r="BD77" i="8"/>
  <c r="BE77" i="8"/>
  <c r="AY78" i="8"/>
  <c r="AZ78" i="8"/>
  <c r="BA78" i="8"/>
  <c r="BB78" i="8"/>
  <c r="BC78" i="8"/>
  <c r="BD78" i="8"/>
  <c r="BE78" i="8"/>
  <c r="AZ6" i="8"/>
  <c r="BA6" i="8"/>
  <c r="BB6" i="8"/>
  <c r="BC6" i="8"/>
  <c r="BD6" i="8"/>
  <c r="BE6" i="8"/>
  <c r="AY6" i="8"/>
  <c r="AZ5" i="8"/>
  <c r="BA5" i="8"/>
  <c r="BB5" i="8"/>
  <c r="BC5" i="8"/>
  <c r="BD5" i="8"/>
  <c r="BE5" i="8"/>
  <c r="AY5" i="8"/>
  <c r="AR7" i="8"/>
  <c r="AS7" i="8"/>
  <c r="AT7" i="8"/>
  <c r="AU7" i="8"/>
  <c r="AV7" i="8"/>
  <c r="AW7" i="8"/>
  <c r="AX7" i="8"/>
  <c r="AR8" i="8"/>
  <c r="AS8" i="8"/>
  <c r="AT8" i="8"/>
  <c r="AU8" i="8"/>
  <c r="AV8" i="8"/>
  <c r="AW8" i="8"/>
  <c r="AX8" i="8"/>
  <c r="AR9" i="8"/>
  <c r="AS9" i="8"/>
  <c r="AT9" i="8"/>
  <c r="AU9" i="8"/>
  <c r="AV9" i="8"/>
  <c r="AW9" i="8"/>
  <c r="AX9" i="8"/>
  <c r="AR10" i="8"/>
  <c r="AS10" i="8"/>
  <c r="AT10" i="8"/>
  <c r="AU10" i="8"/>
  <c r="AV10" i="8"/>
  <c r="AW10" i="8"/>
  <c r="AX10" i="8"/>
  <c r="AR11" i="8"/>
  <c r="AS11" i="8"/>
  <c r="AT11" i="8"/>
  <c r="AU11" i="8"/>
  <c r="AV11" i="8"/>
  <c r="AW11" i="8"/>
  <c r="AX11" i="8"/>
  <c r="AR12" i="8"/>
  <c r="AS12" i="8"/>
  <c r="AT12" i="8"/>
  <c r="AU12" i="8"/>
  <c r="AV12" i="8"/>
  <c r="AW12" i="8"/>
  <c r="AX12" i="8"/>
  <c r="AR13" i="8"/>
  <c r="AS13" i="8"/>
  <c r="AT13" i="8"/>
  <c r="AU13" i="8"/>
  <c r="AV13" i="8"/>
  <c r="AW13" i="8"/>
  <c r="AX13" i="8"/>
  <c r="AR14" i="8"/>
  <c r="AS14" i="8"/>
  <c r="AT14" i="8"/>
  <c r="AU14" i="8"/>
  <c r="AV14" i="8"/>
  <c r="AW14" i="8"/>
  <c r="AX14" i="8"/>
  <c r="AR15" i="8"/>
  <c r="AS15" i="8"/>
  <c r="AT15" i="8"/>
  <c r="AU15" i="8"/>
  <c r="AV15" i="8"/>
  <c r="AW15" i="8"/>
  <c r="AX15" i="8"/>
  <c r="AR16" i="8"/>
  <c r="AS16" i="8"/>
  <c r="AT16" i="8"/>
  <c r="AU16" i="8"/>
  <c r="AV16" i="8"/>
  <c r="AW16" i="8"/>
  <c r="AX16" i="8"/>
  <c r="AR17" i="8"/>
  <c r="AS17" i="8"/>
  <c r="AT17" i="8"/>
  <c r="AU17" i="8"/>
  <c r="AV17" i="8"/>
  <c r="AW17" i="8"/>
  <c r="AX17" i="8"/>
  <c r="AR18" i="8"/>
  <c r="AS18" i="8"/>
  <c r="AT18" i="8"/>
  <c r="AU18" i="8"/>
  <c r="AV18" i="8"/>
  <c r="AW18" i="8"/>
  <c r="AX18" i="8"/>
  <c r="AR19" i="8"/>
  <c r="AS19" i="8"/>
  <c r="AT19" i="8"/>
  <c r="AU19" i="8"/>
  <c r="AV19" i="8"/>
  <c r="AW19" i="8"/>
  <c r="AX19" i="8"/>
  <c r="AR20" i="8"/>
  <c r="AS20" i="8"/>
  <c r="AT20" i="8"/>
  <c r="AU20" i="8"/>
  <c r="AV20" i="8"/>
  <c r="AW20" i="8"/>
  <c r="AX20" i="8"/>
  <c r="AR21" i="8"/>
  <c r="AS21" i="8"/>
  <c r="AT21" i="8"/>
  <c r="AU21" i="8"/>
  <c r="AV21" i="8"/>
  <c r="AW21" i="8"/>
  <c r="AX21" i="8"/>
  <c r="AR22" i="8"/>
  <c r="AS22" i="8"/>
  <c r="AT22" i="8"/>
  <c r="AU22" i="8"/>
  <c r="AV22" i="8"/>
  <c r="AW22" i="8"/>
  <c r="AX22" i="8"/>
  <c r="AR23" i="8"/>
  <c r="AS23" i="8"/>
  <c r="AT23" i="8"/>
  <c r="AU23" i="8"/>
  <c r="AV23" i="8"/>
  <c r="AW23" i="8"/>
  <c r="AX23" i="8"/>
  <c r="AR24" i="8"/>
  <c r="AS24" i="8"/>
  <c r="AT24" i="8"/>
  <c r="AU24" i="8"/>
  <c r="AV24" i="8"/>
  <c r="AW24" i="8"/>
  <c r="AX24" i="8"/>
  <c r="AR25" i="8"/>
  <c r="AS25" i="8"/>
  <c r="AT25" i="8"/>
  <c r="AU25" i="8"/>
  <c r="AV25" i="8"/>
  <c r="AW25" i="8"/>
  <c r="AX25" i="8"/>
  <c r="AR26" i="8"/>
  <c r="AS26" i="8"/>
  <c r="AT26" i="8"/>
  <c r="AU26" i="8"/>
  <c r="AV26" i="8"/>
  <c r="AW26" i="8"/>
  <c r="AX26" i="8"/>
  <c r="AR27" i="8"/>
  <c r="AS27" i="8"/>
  <c r="AT27" i="8"/>
  <c r="AU27" i="8"/>
  <c r="AV27" i="8"/>
  <c r="AW27" i="8"/>
  <c r="AX27" i="8"/>
  <c r="AR28" i="8"/>
  <c r="AS28" i="8"/>
  <c r="AT28" i="8"/>
  <c r="AU28" i="8"/>
  <c r="AV28" i="8"/>
  <c r="AW28" i="8"/>
  <c r="AX28" i="8"/>
  <c r="AR29" i="8"/>
  <c r="AS29" i="8"/>
  <c r="AT29" i="8"/>
  <c r="AU29" i="8"/>
  <c r="AV29" i="8"/>
  <c r="AW29" i="8"/>
  <c r="AX29" i="8"/>
  <c r="AR30" i="8"/>
  <c r="AS30" i="8"/>
  <c r="AT30" i="8"/>
  <c r="AU30" i="8"/>
  <c r="AV30" i="8"/>
  <c r="AW30" i="8"/>
  <c r="AX30" i="8"/>
  <c r="AR31" i="8"/>
  <c r="AS31" i="8"/>
  <c r="AT31" i="8"/>
  <c r="AU31" i="8"/>
  <c r="AV31" i="8"/>
  <c r="AW31" i="8"/>
  <c r="AX31" i="8"/>
  <c r="AR32" i="8"/>
  <c r="AS32" i="8"/>
  <c r="AT32" i="8"/>
  <c r="AU32" i="8"/>
  <c r="AV32" i="8"/>
  <c r="AW32" i="8"/>
  <c r="AX32" i="8"/>
  <c r="AR33" i="8"/>
  <c r="AS33" i="8"/>
  <c r="AT33" i="8"/>
  <c r="AU33" i="8"/>
  <c r="AV33" i="8"/>
  <c r="AW33" i="8"/>
  <c r="AX33" i="8"/>
  <c r="AR34" i="8"/>
  <c r="AS34" i="8"/>
  <c r="AT34" i="8"/>
  <c r="AU34" i="8"/>
  <c r="AV34" i="8"/>
  <c r="AW34" i="8"/>
  <c r="AX34" i="8"/>
  <c r="AR35" i="8"/>
  <c r="AS35" i="8"/>
  <c r="AT35" i="8"/>
  <c r="AU35" i="8"/>
  <c r="AV35" i="8"/>
  <c r="AW35" i="8"/>
  <c r="AX35" i="8"/>
  <c r="AR36" i="8"/>
  <c r="AS36" i="8"/>
  <c r="AT36" i="8"/>
  <c r="AU36" i="8"/>
  <c r="AV36" i="8"/>
  <c r="AW36" i="8"/>
  <c r="AX36" i="8"/>
  <c r="AR37" i="8"/>
  <c r="AS37" i="8"/>
  <c r="AT37" i="8"/>
  <c r="AU37" i="8"/>
  <c r="AV37" i="8"/>
  <c r="AW37" i="8"/>
  <c r="AX37" i="8"/>
  <c r="AR38" i="8"/>
  <c r="AS38" i="8"/>
  <c r="AT38" i="8"/>
  <c r="AU38" i="8"/>
  <c r="AV38" i="8"/>
  <c r="AW38" i="8"/>
  <c r="AX38" i="8"/>
  <c r="AR39" i="8"/>
  <c r="AS39" i="8"/>
  <c r="AT39" i="8"/>
  <c r="AU39" i="8"/>
  <c r="AV39" i="8"/>
  <c r="AW39" i="8"/>
  <c r="AX39" i="8"/>
  <c r="AR40" i="8"/>
  <c r="AS40" i="8"/>
  <c r="AT40" i="8"/>
  <c r="AU40" i="8"/>
  <c r="AV40" i="8"/>
  <c r="AW40" i="8"/>
  <c r="AX40" i="8"/>
  <c r="AR41" i="8"/>
  <c r="AS41" i="8"/>
  <c r="AT41" i="8"/>
  <c r="AU41" i="8"/>
  <c r="AV41" i="8"/>
  <c r="AW41" i="8"/>
  <c r="AX41" i="8"/>
  <c r="AR42" i="8"/>
  <c r="AS42" i="8"/>
  <c r="AT42" i="8"/>
  <c r="AU42" i="8"/>
  <c r="AV42" i="8"/>
  <c r="AW42" i="8"/>
  <c r="AX42" i="8"/>
  <c r="AR43" i="8"/>
  <c r="AS43" i="8"/>
  <c r="AT43" i="8"/>
  <c r="AU43" i="8"/>
  <c r="AV43" i="8"/>
  <c r="AW43" i="8"/>
  <c r="AX43" i="8"/>
  <c r="AR44" i="8"/>
  <c r="AS44" i="8"/>
  <c r="AT44" i="8"/>
  <c r="AU44" i="8"/>
  <c r="AV44" i="8"/>
  <c r="AW44" i="8"/>
  <c r="AX44" i="8"/>
  <c r="AR45" i="8"/>
  <c r="AS45" i="8"/>
  <c r="AT45" i="8"/>
  <c r="AU45" i="8"/>
  <c r="AV45" i="8"/>
  <c r="AW45" i="8"/>
  <c r="AX45" i="8"/>
  <c r="AR46" i="8"/>
  <c r="AS46" i="8"/>
  <c r="AT46" i="8"/>
  <c r="AU46" i="8"/>
  <c r="AV46" i="8"/>
  <c r="AW46" i="8"/>
  <c r="AX46" i="8"/>
  <c r="AR47" i="8"/>
  <c r="AS47" i="8"/>
  <c r="AT47" i="8"/>
  <c r="AU47" i="8"/>
  <c r="AV47" i="8"/>
  <c r="AW47" i="8"/>
  <c r="AX47" i="8"/>
  <c r="AR48" i="8"/>
  <c r="AS48" i="8"/>
  <c r="AT48" i="8"/>
  <c r="AU48" i="8"/>
  <c r="AV48" i="8"/>
  <c r="AW48" i="8"/>
  <c r="AX48" i="8"/>
  <c r="AR49" i="8"/>
  <c r="AS49" i="8"/>
  <c r="AT49" i="8"/>
  <c r="AU49" i="8"/>
  <c r="AV49" i="8"/>
  <c r="AW49" i="8"/>
  <c r="AX49" i="8"/>
  <c r="AR50" i="8"/>
  <c r="AS50" i="8"/>
  <c r="AT50" i="8"/>
  <c r="AU50" i="8"/>
  <c r="AV50" i="8"/>
  <c r="AW50" i="8"/>
  <c r="AX50" i="8"/>
  <c r="AR51" i="8"/>
  <c r="AS51" i="8"/>
  <c r="AT51" i="8"/>
  <c r="AU51" i="8"/>
  <c r="AV51" i="8"/>
  <c r="AW51" i="8"/>
  <c r="AX51" i="8"/>
  <c r="AR52" i="8"/>
  <c r="AS52" i="8"/>
  <c r="AT52" i="8"/>
  <c r="AU52" i="8"/>
  <c r="AV52" i="8"/>
  <c r="AW52" i="8"/>
  <c r="AX52" i="8"/>
  <c r="AR53" i="8"/>
  <c r="AS53" i="8"/>
  <c r="AT53" i="8"/>
  <c r="AU53" i="8"/>
  <c r="AV53" i="8"/>
  <c r="AW53" i="8"/>
  <c r="AX53" i="8"/>
  <c r="AR54" i="8"/>
  <c r="AS54" i="8"/>
  <c r="AT54" i="8"/>
  <c r="AU54" i="8"/>
  <c r="AV54" i="8"/>
  <c r="AW54" i="8"/>
  <c r="AX54" i="8"/>
  <c r="AR55" i="8"/>
  <c r="AS55" i="8"/>
  <c r="AT55" i="8"/>
  <c r="AU55" i="8"/>
  <c r="AV55" i="8"/>
  <c r="AW55" i="8"/>
  <c r="AX55" i="8"/>
  <c r="AR56" i="8"/>
  <c r="AS56" i="8"/>
  <c r="AT56" i="8"/>
  <c r="AU56" i="8"/>
  <c r="AV56" i="8"/>
  <c r="AW56" i="8"/>
  <c r="AX56" i="8"/>
  <c r="AR57" i="8"/>
  <c r="AS57" i="8"/>
  <c r="AT57" i="8"/>
  <c r="AU57" i="8"/>
  <c r="AV57" i="8"/>
  <c r="AW57" i="8"/>
  <c r="AX57" i="8"/>
  <c r="AR58" i="8"/>
  <c r="AS58" i="8"/>
  <c r="AT58" i="8"/>
  <c r="AU58" i="8"/>
  <c r="AV58" i="8"/>
  <c r="AW58" i="8"/>
  <c r="AX58" i="8"/>
  <c r="AR59" i="8"/>
  <c r="AS59" i="8"/>
  <c r="AT59" i="8"/>
  <c r="AU59" i="8"/>
  <c r="AV59" i="8"/>
  <c r="AW59" i="8"/>
  <c r="AX59" i="8"/>
  <c r="AR60" i="8"/>
  <c r="AS60" i="8"/>
  <c r="AT60" i="8"/>
  <c r="AU60" i="8"/>
  <c r="AV60" i="8"/>
  <c r="AW60" i="8"/>
  <c r="AX60" i="8"/>
  <c r="AR61" i="8"/>
  <c r="AS61" i="8"/>
  <c r="AT61" i="8"/>
  <c r="AU61" i="8"/>
  <c r="AV61" i="8"/>
  <c r="AW61" i="8"/>
  <c r="AX61" i="8"/>
  <c r="AR62" i="8"/>
  <c r="AS62" i="8"/>
  <c r="AT62" i="8"/>
  <c r="AU62" i="8"/>
  <c r="AV62" i="8"/>
  <c r="AW62" i="8"/>
  <c r="AX62" i="8"/>
  <c r="AR63" i="8"/>
  <c r="AS63" i="8"/>
  <c r="AT63" i="8"/>
  <c r="AU63" i="8"/>
  <c r="AV63" i="8"/>
  <c r="AW63" i="8"/>
  <c r="AX63" i="8"/>
  <c r="AR64" i="8"/>
  <c r="AS64" i="8"/>
  <c r="AT64" i="8"/>
  <c r="AU64" i="8"/>
  <c r="AV64" i="8"/>
  <c r="AW64" i="8"/>
  <c r="AX64" i="8"/>
  <c r="AR65" i="8"/>
  <c r="AS65" i="8"/>
  <c r="AT65" i="8"/>
  <c r="AU65" i="8"/>
  <c r="AV65" i="8"/>
  <c r="AW65" i="8"/>
  <c r="AX65" i="8"/>
  <c r="AR66" i="8"/>
  <c r="AS66" i="8"/>
  <c r="AT66" i="8"/>
  <c r="AU66" i="8"/>
  <c r="AV66" i="8"/>
  <c r="AW66" i="8"/>
  <c r="AX66" i="8"/>
  <c r="AR67" i="8"/>
  <c r="AS67" i="8"/>
  <c r="AT67" i="8"/>
  <c r="AU67" i="8"/>
  <c r="AV67" i="8"/>
  <c r="AW67" i="8"/>
  <c r="AX67" i="8"/>
  <c r="AR68" i="8"/>
  <c r="AS68" i="8"/>
  <c r="AT68" i="8"/>
  <c r="AU68" i="8"/>
  <c r="AV68" i="8"/>
  <c r="AW68" i="8"/>
  <c r="AX68" i="8"/>
  <c r="AR69" i="8"/>
  <c r="AS69" i="8"/>
  <c r="AT69" i="8"/>
  <c r="AU69" i="8"/>
  <c r="AV69" i="8"/>
  <c r="AW69" i="8"/>
  <c r="AX69" i="8"/>
  <c r="AR70" i="8"/>
  <c r="AS70" i="8"/>
  <c r="AT70" i="8"/>
  <c r="AU70" i="8"/>
  <c r="AV70" i="8"/>
  <c r="AW70" i="8"/>
  <c r="AX70" i="8"/>
  <c r="AR71" i="8"/>
  <c r="AS71" i="8"/>
  <c r="AT71" i="8"/>
  <c r="AU71" i="8"/>
  <c r="AV71" i="8"/>
  <c r="AW71" i="8"/>
  <c r="AX71" i="8"/>
  <c r="AR72" i="8"/>
  <c r="AS72" i="8"/>
  <c r="AT72" i="8"/>
  <c r="AU72" i="8"/>
  <c r="AV72" i="8"/>
  <c r="AW72" i="8"/>
  <c r="AX72" i="8"/>
  <c r="AR73" i="8"/>
  <c r="AS73" i="8"/>
  <c r="AT73" i="8"/>
  <c r="AU73" i="8"/>
  <c r="AV73" i="8"/>
  <c r="AW73" i="8"/>
  <c r="AX73" i="8"/>
  <c r="AR74" i="8"/>
  <c r="AS74" i="8"/>
  <c r="AT74" i="8"/>
  <c r="AU74" i="8"/>
  <c r="AV74" i="8"/>
  <c r="AW74" i="8"/>
  <c r="AX74" i="8"/>
  <c r="AR75" i="8"/>
  <c r="AS75" i="8"/>
  <c r="AT75" i="8"/>
  <c r="AU75" i="8"/>
  <c r="AV75" i="8"/>
  <c r="AW75" i="8"/>
  <c r="AX75" i="8"/>
  <c r="AR76" i="8"/>
  <c r="AS76" i="8"/>
  <c r="AT76" i="8"/>
  <c r="AU76" i="8"/>
  <c r="AV76" i="8"/>
  <c r="AW76" i="8"/>
  <c r="AX76" i="8"/>
  <c r="AR77" i="8"/>
  <c r="AS77" i="8"/>
  <c r="AT77" i="8"/>
  <c r="AU77" i="8"/>
  <c r="AV77" i="8"/>
  <c r="AW77" i="8"/>
  <c r="AX77" i="8"/>
  <c r="AR78" i="8"/>
  <c r="AS78" i="8"/>
  <c r="AT78" i="8"/>
  <c r="AU78" i="8"/>
  <c r="AV78" i="8"/>
  <c r="AW78" i="8"/>
  <c r="AX78" i="8"/>
  <c r="AS6" i="8"/>
  <c r="AT6" i="8"/>
  <c r="AU6" i="8"/>
  <c r="AV6" i="8"/>
  <c r="AW6" i="8"/>
  <c r="AX6" i="8"/>
  <c r="AR6" i="8"/>
  <c r="AS5" i="8"/>
  <c r="AT5" i="8"/>
  <c r="AU5" i="8"/>
  <c r="AV5" i="8"/>
  <c r="AW5" i="8"/>
  <c r="AX5" i="8"/>
  <c r="AR5" i="8"/>
  <c r="AK7" i="8"/>
  <c r="AL7" i="8"/>
  <c r="AM7" i="8"/>
  <c r="AN7" i="8"/>
  <c r="AO7" i="8"/>
  <c r="AP7" i="8"/>
  <c r="AQ7" i="8"/>
  <c r="AK8" i="8"/>
  <c r="AL8" i="8"/>
  <c r="AM8" i="8"/>
  <c r="AN8" i="8"/>
  <c r="AO8" i="8"/>
  <c r="AP8" i="8"/>
  <c r="AQ8" i="8"/>
  <c r="AK9" i="8"/>
  <c r="AL9" i="8"/>
  <c r="AM9" i="8"/>
  <c r="AN9" i="8"/>
  <c r="AO9" i="8"/>
  <c r="AP9" i="8"/>
  <c r="AQ9" i="8"/>
  <c r="AK10" i="8"/>
  <c r="AL10" i="8"/>
  <c r="AM10" i="8"/>
  <c r="AN10" i="8"/>
  <c r="AO10" i="8"/>
  <c r="AP10" i="8"/>
  <c r="AQ10" i="8"/>
  <c r="AK11" i="8"/>
  <c r="AL11" i="8"/>
  <c r="AM11" i="8"/>
  <c r="AN11" i="8"/>
  <c r="AO11" i="8"/>
  <c r="AP11" i="8"/>
  <c r="AQ11" i="8"/>
  <c r="AK12" i="8"/>
  <c r="AL12" i="8"/>
  <c r="AM12" i="8"/>
  <c r="AN12" i="8"/>
  <c r="AO12" i="8"/>
  <c r="AP12" i="8"/>
  <c r="AQ12" i="8"/>
  <c r="AK13" i="8"/>
  <c r="AL13" i="8"/>
  <c r="AM13" i="8"/>
  <c r="AN13" i="8"/>
  <c r="AO13" i="8"/>
  <c r="AP13" i="8"/>
  <c r="AQ13" i="8"/>
  <c r="AK14" i="8"/>
  <c r="AL14" i="8"/>
  <c r="AM14" i="8"/>
  <c r="AN14" i="8"/>
  <c r="AO14" i="8"/>
  <c r="AP14" i="8"/>
  <c r="AQ14" i="8"/>
  <c r="AK15" i="8"/>
  <c r="AL15" i="8"/>
  <c r="AM15" i="8"/>
  <c r="AN15" i="8"/>
  <c r="AO15" i="8"/>
  <c r="AP15" i="8"/>
  <c r="AQ15" i="8"/>
  <c r="AK16" i="8"/>
  <c r="AL16" i="8"/>
  <c r="AM16" i="8"/>
  <c r="AN16" i="8"/>
  <c r="AO16" i="8"/>
  <c r="AP16" i="8"/>
  <c r="AQ16" i="8"/>
  <c r="AK17" i="8"/>
  <c r="AL17" i="8"/>
  <c r="AM17" i="8"/>
  <c r="AN17" i="8"/>
  <c r="AO17" i="8"/>
  <c r="AP17" i="8"/>
  <c r="AQ17" i="8"/>
  <c r="AK18" i="8"/>
  <c r="AL18" i="8"/>
  <c r="AM18" i="8"/>
  <c r="AN18" i="8"/>
  <c r="AO18" i="8"/>
  <c r="AP18" i="8"/>
  <c r="AQ18" i="8"/>
  <c r="AK19" i="8"/>
  <c r="AL19" i="8"/>
  <c r="AM19" i="8"/>
  <c r="AN19" i="8"/>
  <c r="AO19" i="8"/>
  <c r="AP19" i="8"/>
  <c r="AQ19" i="8"/>
  <c r="AK20" i="8"/>
  <c r="AL20" i="8"/>
  <c r="AM20" i="8"/>
  <c r="AN20" i="8"/>
  <c r="AO20" i="8"/>
  <c r="AP20" i="8"/>
  <c r="AQ20" i="8"/>
  <c r="AK21" i="8"/>
  <c r="AL21" i="8"/>
  <c r="AM21" i="8"/>
  <c r="AN21" i="8"/>
  <c r="AO21" i="8"/>
  <c r="AP21" i="8"/>
  <c r="AQ21" i="8"/>
  <c r="AK22" i="8"/>
  <c r="AL22" i="8"/>
  <c r="AM22" i="8"/>
  <c r="AN22" i="8"/>
  <c r="AO22" i="8"/>
  <c r="AP22" i="8"/>
  <c r="AQ22" i="8"/>
  <c r="AK23" i="8"/>
  <c r="AL23" i="8"/>
  <c r="AM23" i="8"/>
  <c r="AN23" i="8"/>
  <c r="AO23" i="8"/>
  <c r="AP23" i="8"/>
  <c r="AQ23" i="8"/>
  <c r="AK24" i="8"/>
  <c r="AL24" i="8"/>
  <c r="AM24" i="8"/>
  <c r="AN24" i="8"/>
  <c r="AO24" i="8"/>
  <c r="AP24" i="8"/>
  <c r="AQ24" i="8"/>
  <c r="AK25" i="8"/>
  <c r="AL25" i="8"/>
  <c r="AM25" i="8"/>
  <c r="AN25" i="8"/>
  <c r="AO25" i="8"/>
  <c r="AP25" i="8"/>
  <c r="AQ25" i="8"/>
  <c r="AK26" i="8"/>
  <c r="AL26" i="8"/>
  <c r="AM26" i="8"/>
  <c r="AN26" i="8"/>
  <c r="AO26" i="8"/>
  <c r="AP26" i="8"/>
  <c r="AQ26" i="8"/>
  <c r="AK27" i="8"/>
  <c r="AL27" i="8"/>
  <c r="AM27" i="8"/>
  <c r="AN27" i="8"/>
  <c r="AO27" i="8"/>
  <c r="AP27" i="8"/>
  <c r="AQ27" i="8"/>
  <c r="AK28" i="8"/>
  <c r="AL28" i="8"/>
  <c r="AM28" i="8"/>
  <c r="AN28" i="8"/>
  <c r="AO28" i="8"/>
  <c r="AP28" i="8"/>
  <c r="AQ28" i="8"/>
  <c r="AK29" i="8"/>
  <c r="AL29" i="8"/>
  <c r="AM29" i="8"/>
  <c r="AN29" i="8"/>
  <c r="AO29" i="8"/>
  <c r="AP29" i="8"/>
  <c r="AQ29" i="8"/>
  <c r="AK30" i="8"/>
  <c r="AL30" i="8"/>
  <c r="AM30" i="8"/>
  <c r="AN30" i="8"/>
  <c r="AO30" i="8"/>
  <c r="AP30" i="8"/>
  <c r="AQ30" i="8"/>
  <c r="AK31" i="8"/>
  <c r="AL31" i="8"/>
  <c r="AM31" i="8"/>
  <c r="AN31" i="8"/>
  <c r="AO31" i="8"/>
  <c r="AP31" i="8"/>
  <c r="AQ31" i="8"/>
  <c r="AK32" i="8"/>
  <c r="AL32" i="8"/>
  <c r="AM32" i="8"/>
  <c r="AN32" i="8"/>
  <c r="AO32" i="8"/>
  <c r="AP32" i="8"/>
  <c r="AQ32" i="8"/>
  <c r="AK33" i="8"/>
  <c r="AL33" i="8"/>
  <c r="AM33" i="8"/>
  <c r="AN33" i="8"/>
  <c r="AO33" i="8"/>
  <c r="AP33" i="8"/>
  <c r="AQ33" i="8"/>
  <c r="AK34" i="8"/>
  <c r="AL34" i="8"/>
  <c r="AM34" i="8"/>
  <c r="AN34" i="8"/>
  <c r="AO34" i="8"/>
  <c r="AP34" i="8"/>
  <c r="AQ34" i="8"/>
  <c r="AK35" i="8"/>
  <c r="AL35" i="8"/>
  <c r="AM35" i="8"/>
  <c r="AN35" i="8"/>
  <c r="AO35" i="8"/>
  <c r="AP35" i="8"/>
  <c r="AQ35" i="8"/>
  <c r="AK36" i="8"/>
  <c r="AL36" i="8"/>
  <c r="AM36" i="8"/>
  <c r="AN36" i="8"/>
  <c r="AO36" i="8"/>
  <c r="AP36" i="8"/>
  <c r="AQ36" i="8"/>
  <c r="AK37" i="8"/>
  <c r="AL37" i="8"/>
  <c r="AM37" i="8"/>
  <c r="AN37" i="8"/>
  <c r="AO37" i="8"/>
  <c r="AP37" i="8"/>
  <c r="AQ37" i="8"/>
  <c r="AK38" i="8"/>
  <c r="AL38" i="8"/>
  <c r="AM38" i="8"/>
  <c r="AN38" i="8"/>
  <c r="AO38" i="8"/>
  <c r="AP38" i="8"/>
  <c r="AQ38" i="8"/>
  <c r="AK39" i="8"/>
  <c r="AL39" i="8"/>
  <c r="AM39" i="8"/>
  <c r="AN39" i="8"/>
  <c r="AO39" i="8"/>
  <c r="AP39" i="8"/>
  <c r="AQ39" i="8"/>
  <c r="AK40" i="8"/>
  <c r="AL40" i="8"/>
  <c r="AM40" i="8"/>
  <c r="AN40" i="8"/>
  <c r="AO40" i="8"/>
  <c r="AP40" i="8"/>
  <c r="AQ40" i="8"/>
  <c r="AK41" i="8"/>
  <c r="AL41" i="8"/>
  <c r="AM41" i="8"/>
  <c r="AN41" i="8"/>
  <c r="AO41" i="8"/>
  <c r="AP41" i="8"/>
  <c r="AQ41" i="8"/>
  <c r="AK42" i="8"/>
  <c r="AL42" i="8"/>
  <c r="AM42" i="8"/>
  <c r="AN42" i="8"/>
  <c r="AO42" i="8"/>
  <c r="AP42" i="8"/>
  <c r="AQ42" i="8"/>
  <c r="AK43" i="8"/>
  <c r="AL43" i="8"/>
  <c r="AM43" i="8"/>
  <c r="AN43" i="8"/>
  <c r="AO43" i="8"/>
  <c r="AP43" i="8"/>
  <c r="AQ43" i="8"/>
  <c r="AK44" i="8"/>
  <c r="AL44" i="8"/>
  <c r="AM44" i="8"/>
  <c r="AN44" i="8"/>
  <c r="AO44" i="8"/>
  <c r="AP44" i="8"/>
  <c r="AQ44" i="8"/>
  <c r="AK45" i="8"/>
  <c r="AL45" i="8"/>
  <c r="AM45" i="8"/>
  <c r="AN45" i="8"/>
  <c r="AO45" i="8"/>
  <c r="AP45" i="8"/>
  <c r="AQ45" i="8"/>
  <c r="AK46" i="8"/>
  <c r="AL46" i="8"/>
  <c r="AM46" i="8"/>
  <c r="AN46" i="8"/>
  <c r="AO46" i="8"/>
  <c r="AP46" i="8"/>
  <c r="AQ46" i="8"/>
  <c r="AK47" i="8"/>
  <c r="AL47" i="8"/>
  <c r="AM47" i="8"/>
  <c r="AN47" i="8"/>
  <c r="AO47" i="8"/>
  <c r="AP47" i="8"/>
  <c r="AQ47" i="8"/>
  <c r="AK48" i="8"/>
  <c r="AL48" i="8"/>
  <c r="AM48" i="8"/>
  <c r="AN48" i="8"/>
  <c r="AO48" i="8"/>
  <c r="AP48" i="8"/>
  <c r="AQ48" i="8"/>
  <c r="AK49" i="8"/>
  <c r="AL49" i="8"/>
  <c r="AM49" i="8"/>
  <c r="AN49" i="8"/>
  <c r="AO49" i="8"/>
  <c r="AP49" i="8"/>
  <c r="AQ49" i="8"/>
  <c r="AK50" i="8"/>
  <c r="AL50" i="8"/>
  <c r="AM50" i="8"/>
  <c r="AN50" i="8"/>
  <c r="AO50" i="8"/>
  <c r="AP50" i="8"/>
  <c r="AQ50" i="8"/>
  <c r="AK51" i="8"/>
  <c r="AL51" i="8"/>
  <c r="AM51" i="8"/>
  <c r="AN51" i="8"/>
  <c r="AO51" i="8"/>
  <c r="AP51" i="8"/>
  <c r="AQ51" i="8"/>
  <c r="AK52" i="8"/>
  <c r="AL52" i="8"/>
  <c r="AM52" i="8"/>
  <c r="AN52" i="8"/>
  <c r="AO52" i="8"/>
  <c r="AP52" i="8"/>
  <c r="AQ52" i="8"/>
  <c r="AK53" i="8"/>
  <c r="AL53" i="8"/>
  <c r="AM53" i="8"/>
  <c r="AN53" i="8"/>
  <c r="AO53" i="8"/>
  <c r="AP53" i="8"/>
  <c r="AQ53" i="8"/>
  <c r="AK54" i="8"/>
  <c r="AL54" i="8"/>
  <c r="AM54" i="8"/>
  <c r="AN54" i="8"/>
  <c r="AO54" i="8"/>
  <c r="AP54" i="8"/>
  <c r="AQ54" i="8"/>
  <c r="AK55" i="8"/>
  <c r="AL55" i="8"/>
  <c r="AM55" i="8"/>
  <c r="AN55" i="8"/>
  <c r="AO55" i="8"/>
  <c r="AP55" i="8"/>
  <c r="AQ55" i="8"/>
  <c r="AK56" i="8"/>
  <c r="AL56" i="8"/>
  <c r="AM56" i="8"/>
  <c r="AN56" i="8"/>
  <c r="AO56" i="8"/>
  <c r="AP56" i="8"/>
  <c r="AQ56" i="8"/>
  <c r="AK57" i="8"/>
  <c r="AL57" i="8"/>
  <c r="AM57" i="8"/>
  <c r="AN57" i="8"/>
  <c r="AO57" i="8"/>
  <c r="AP57" i="8"/>
  <c r="AQ57" i="8"/>
  <c r="AK58" i="8"/>
  <c r="AL58" i="8"/>
  <c r="AM58" i="8"/>
  <c r="AN58" i="8"/>
  <c r="AO58" i="8"/>
  <c r="AP58" i="8"/>
  <c r="AQ58" i="8"/>
  <c r="AK59" i="8"/>
  <c r="AL59" i="8"/>
  <c r="AM59" i="8"/>
  <c r="AN59" i="8"/>
  <c r="AO59" i="8"/>
  <c r="AP59" i="8"/>
  <c r="AQ59" i="8"/>
  <c r="AK60" i="8"/>
  <c r="AL60" i="8"/>
  <c r="AM60" i="8"/>
  <c r="AN60" i="8"/>
  <c r="AO60" i="8"/>
  <c r="AP60" i="8"/>
  <c r="AQ60" i="8"/>
  <c r="AK61" i="8"/>
  <c r="AL61" i="8"/>
  <c r="AM61" i="8"/>
  <c r="AN61" i="8"/>
  <c r="AO61" i="8"/>
  <c r="AP61" i="8"/>
  <c r="AQ61" i="8"/>
  <c r="AK62" i="8"/>
  <c r="AL62" i="8"/>
  <c r="AM62" i="8"/>
  <c r="AN62" i="8"/>
  <c r="AO62" i="8"/>
  <c r="AP62" i="8"/>
  <c r="AQ62" i="8"/>
  <c r="AK63" i="8"/>
  <c r="AL63" i="8"/>
  <c r="AM63" i="8"/>
  <c r="AN63" i="8"/>
  <c r="AO63" i="8"/>
  <c r="AP63" i="8"/>
  <c r="AQ63" i="8"/>
  <c r="AK64" i="8"/>
  <c r="AL64" i="8"/>
  <c r="AM64" i="8"/>
  <c r="AN64" i="8"/>
  <c r="AO64" i="8"/>
  <c r="AP64" i="8"/>
  <c r="AQ64" i="8"/>
  <c r="AK65" i="8"/>
  <c r="AL65" i="8"/>
  <c r="AM65" i="8"/>
  <c r="AN65" i="8"/>
  <c r="AO65" i="8"/>
  <c r="AP65" i="8"/>
  <c r="AQ65" i="8"/>
  <c r="AK66" i="8"/>
  <c r="AL66" i="8"/>
  <c r="AM66" i="8"/>
  <c r="AN66" i="8"/>
  <c r="AO66" i="8"/>
  <c r="AP66" i="8"/>
  <c r="AQ66" i="8"/>
  <c r="AK67" i="8"/>
  <c r="AL67" i="8"/>
  <c r="AM67" i="8"/>
  <c r="AN67" i="8"/>
  <c r="AO67" i="8"/>
  <c r="AP67" i="8"/>
  <c r="AQ67" i="8"/>
  <c r="AK68" i="8"/>
  <c r="AL68" i="8"/>
  <c r="AM68" i="8"/>
  <c r="AN68" i="8"/>
  <c r="AO68" i="8"/>
  <c r="AP68" i="8"/>
  <c r="AQ68" i="8"/>
  <c r="AK69" i="8"/>
  <c r="AL69" i="8"/>
  <c r="AM69" i="8"/>
  <c r="AN69" i="8"/>
  <c r="AO69" i="8"/>
  <c r="AP69" i="8"/>
  <c r="AQ69" i="8"/>
  <c r="AK70" i="8"/>
  <c r="AL70" i="8"/>
  <c r="AM70" i="8"/>
  <c r="AN70" i="8"/>
  <c r="AO70" i="8"/>
  <c r="AP70" i="8"/>
  <c r="AQ70" i="8"/>
  <c r="AK71" i="8"/>
  <c r="AL71" i="8"/>
  <c r="AM71" i="8"/>
  <c r="AN71" i="8"/>
  <c r="AO71" i="8"/>
  <c r="AP71" i="8"/>
  <c r="AQ71" i="8"/>
  <c r="AK72" i="8"/>
  <c r="AL72" i="8"/>
  <c r="AM72" i="8"/>
  <c r="AN72" i="8"/>
  <c r="AO72" i="8"/>
  <c r="AP72" i="8"/>
  <c r="AQ72" i="8"/>
  <c r="AK73" i="8"/>
  <c r="AL73" i="8"/>
  <c r="AM73" i="8"/>
  <c r="AN73" i="8"/>
  <c r="AO73" i="8"/>
  <c r="AP73" i="8"/>
  <c r="AQ73" i="8"/>
  <c r="AK74" i="8"/>
  <c r="AL74" i="8"/>
  <c r="AM74" i="8"/>
  <c r="AN74" i="8"/>
  <c r="AO74" i="8"/>
  <c r="AP74" i="8"/>
  <c r="AQ74" i="8"/>
  <c r="AK75" i="8"/>
  <c r="AL75" i="8"/>
  <c r="AM75" i="8"/>
  <c r="AN75" i="8"/>
  <c r="AO75" i="8"/>
  <c r="AP75" i="8"/>
  <c r="AQ75" i="8"/>
  <c r="AK76" i="8"/>
  <c r="AL76" i="8"/>
  <c r="AM76" i="8"/>
  <c r="AN76" i="8"/>
  <c r="AO76" i="8"/>
  <c r="AP76" i="8"/>
  <c r="AQ76" i="8"/>
  <c r="AK77" i="8"/>
  <c r="AL77" i="8"/>
  <c r="AM77" i="8"/>
  <c r="AN77" i="8"/>
  <c r="AO77" i="8"/>
  <c r="AP77" i="8"/>
  <c r="AQ77" i="8"/>
  <c r="AK78" i="8"/>
  <c r="AL78" i="8"/>
  <c r="AM78" i="8"/>
  <c r="AN78" i="8"/>
  <c r="AO78" i="8"/>
  <c r="AP78" i="8"/>
  <c r="AQ78" i="8"/>
  <c r="AL6" i="8"/>
  <c r="AM6" i="8"/>
  <c r="AN6" i="8"/>
  <c r="AO6" i="8"/>
  <c r="AP6" i="8"/>
  <c r="AQ6" i="8"/>
  <c r="AL5" i="8"/>
  <c r="AM5" i="8"/>
  <c r="AN5" i="8"/>
  <c r="AO5" i="8"/>
  <c r="AP5" i="8"/>
  <c r="AQ5" i="8"/>
  <c r="AK6" i="8"/>
  <c r="AK5" i="8"/>
  <c r="AD7" i="8"/>
  <c r="AE7" i="8"/>
  <c r="AF7" i="8"/>
  <c r="AG7" i="8"/>
  <c r="AH7" i="8"/>
  <c r="AI7" i="8"/>
  <c r="AJ7" i="8"/>
  <c r="AD8" i="8"/>
  <c r="AE8" i="8"/>
  <c r="AF8" i="8"/>
  <c r="AG8" i="8"/>
  <c r="AH8" i="8"/>
  <c r="AI8" i="8"/>
  <c r="AJ8" i="8"/>
  <c r="AD9" i="8"/>
  <c r="AE9" i="8"/>
  <c r="AF9" i="8"/>
  <c r="AG9" i="8"/>
  <c r="AH9" i="8"/>
  <c r="AI9" i="8"/>
  <c r="AJ9" i="8"/>
  <c r="AD10" i="8"/>
  <c r="AE10" i="8"/>
  <c r="AF10" i="8"/>
  <c r="AG10" i="8"/>
  <c r="AH10" i="8"/>
  <c r="AI10" i="8"/>
  <c r="AJ10" i="8"/>
  <c r="AD11" i="8"/>
  <c r="AE11" i="8"/>
  <c r="AF11" i="8"/>
  <c r="AG11" i="8"/>
  <c r="AH11" i="8"/>
  <c r="AI11" i="8"/>
  <c r="AJ11" i="8"/>
  <c r="AD12" i="8"/>
  <c r="AE12" i="8"/>
  <c r="AF12" i="8"/>
  <c r="AG12" i="8"/>
  <c r="AH12" i="8"/>
  <c r="AI12" i="8"/>
  <c r="AJ12" i="8"/>
  <c r="AD13" i="8"/>
  <c r="AE13" i="8"/>
  <c r="AF13" i="8"/>
  <c r="AG13" i="8"/>
  <c r="AH13" i="8"/>
  <c r="AI13" i="8"/>
  <c r="AJ13" i="8"/>
  <c r="AD14" i="8"/>
  <c r="AE14" i="8"/>
  <c r="AF14" i="8"/>
  <c r="AG14" i="8"/>
  <c r="AH14" i="8"/>
  <c r="AI14" i="8"/>
  <c r="AJ14" i="8"/>
  <c r="AD15" i="8"/>
  <c r="AE15" i="8"/>
  <c r="AF15" i="8"/>
  <c r="AG15" i="8"/>
  <c r="AH15" i="8"/>
  <c r="AI15" i="8"/>
  <c r="AJ15" i="8"/>
  <c r="AD16" i="8"/>
  <c r="AE16" i="8"/>
  <c r="AF16" i="8"/>
  <c r="AG16" i="8"/>
  <c r="AH16" i="8"/>
  <c r="AI16" i="8"/>
  <c r="AJ16" i="8"/>
  <c r="AD17" i="8"/>
  <c r="AE17" i="8"/>
  <c r="AF17" i="8"/>
  <c r="AG17" i="8"/>
  <c r="AH17" i="8"/>
  <c r="AI17" i="8"/>
  <c r="AJ17" i="8"/>
  <c r="AD18" i="8"/>
  <c r="AE18" i="8"/>
  <c r="AF18" i="8"/>
  <c r="AG18" i="8"/>
  <c r="AH18" i="8"/>
  <c r="AI18" i="8"/>
  <c r="AJ18" i="8"/>
  <c r="AD19" i="8"/>
  <c r="AE19" i="8"/>
  <c r="AF19" i="8"/>
  <c r="AG19" i="8"/>
  <c r="AH19" i="8"/>
  <c r="AI19" i="8"/>
  <c r="AJ19" i="8"/>
  <c r="AD20" i="8"/>
  <c r="AE20" i="8"/>
  <c r="AF20" i="8"/>
  <c r="AG20" i="8"/>
  <c r="AH20" i="8"/>
  <c r="AI20" i="8"/>
  <c r="AJ20" i="8"/>
  <c r="AD21" i="8"/>
  <c r="AE21" i="8"/>
  <c r="AF21" i="8"/>
  <c r="AG21" i="8"/>
  <c r="AH21" i="8"/>
  <c r="AI21" i="8"/>
  <c r="AJ21" i="8"/>
  <c r="AD22" i="8"/>
  <c r="AE22" i="8"/>
  <c r="AF22" i="8"/>
  <c r="AG22" i="8"/>
  <c r="AH22" i="8"/>
  <c r="AI22" i="8"/>
  <c r="AJ22" i="8"/>
  <c r="AD23" i="8"/>
  <c r="AE23" i="8"/>
  <c r="AF23" i="8"/>
  <c r="AG23" i="8"/>
  <c r="AH23" i="8"/>
  <c r="AI23" i="8"/>
  <c r="AJ23" i="8"/>
  <c r="AD24" i="8"/>
  <c r="AE24" i="8"/>
  <c r="AF24" i="8"/>
  <c r="AG24" i="8"/>
  <c r="AH24" i="8"/>
  <c r="AI24" i="8"/>
  <c r="AJ24" i="8"/>
  <c r="AD25" i="8"/>
  <c r="AE25" i="8"/>
  <c r="AF25" i="8"/>
  <c r="AG25" i="8"/>
  <c r="AH25" i="8"/>
  <c r="AI25" i="8"/>
  <c r="AJ25" i="8"/>
  <c r="AD26" i="8"/>
  <c r="AE26" i="8"/>
  <c r="AF26" i="8"/>
  <c r="AG26" i="8"/>
  <c r="AH26" i="8"/>
  <c r="AI26" i="8"/>
  <c r="AJ26" i="8"/>
  <c r="AD27" i="8"/>
  <c r="AE27" i="8"/>
  <c r="AF27" i="8"/>
  <c r="AG27" i="8"/>
  <c r="AH27" i="8"/>
  <c r="AI27" i="8"/>
  <c r="AJ27" i="8"/>
  <c r="AD28" i="8"/>
  <c r="AE28" i="8"/>
  <c r="AF28" i="8"/>
  <c r="AG28" i="8"/>
  <c r="AH28" i="8"/>
  <c r="AI28" i="8"/>
  <c r="AJ28" i="8"/>
  <c r="AD29" i="8"/>
  <c r="AE29" i="8"/>
  <c r="AF29" i="8"/>
  <c r="AG29" i="8"/>
  <c r="AH29" i="8"/>
  <c r="AI29" i="8"/>
  <c r="AJ29" i="8"/>
  <c r="AD30" i="8"/>
  <c r="AE30" i="8"/>
  <c r="AF30" i="8"/>
  <c r="AG30" i="8"/>
  <c r="AH30" i="8"/>
  <c r="AI30" i="8"/>
  <c r="AJ30" i="8"/>
  <c r="AD31" i="8"/>
  <c r="AE31" i="8"/>
  <c r="AF31" i="8"/>
  <c r="AG31" i="8"/>
  <c r="AH31" i="8"/>
  <c r="AI31" i="8"/>
  <c r="AJ31" i="8"/>
  <c r="AD32" i="8"/>
  <c r="AE32" i="8"/>
  <c r="AF32" i="8"/>
  <c r="AG32" i="8"/>
  <c r="AH32" i="8"/>
  <c r="AI32" i="8"/>
  <c r="AJ32" i="8"/>
  <c r="AD33" i="8"/>
  <c r="AE33" i="8"/>
  <c r="AF33" i="8"/>
  <c r="AG33" i="8"/>
  <c r="AH33" i="8"/>
  <c r="AI33" i="8"/>
  <c r="AJ33" i="8"/>
  <c r="AD34" i="8"/>
  <c r="AE34" i="8"/>
  <c r="AF34" i="8"/>
  <c r="AG34" i="8"/>
  <c r="AH34" i="8"/>
  <c r="AI34" i="8"/>
  <c r="AJ34" i="8"/>
  <c r="AD35" i="8"/>
  <c r="AE35" i="8"/>
  <c r="AF35" i="8"/>
  <c r="AG35" i="8"/>
  <c r="AH35" i="8"/>
  <c r="AI35" i="8"/>
  <c r="AJ35" i="8"/>
  <c r="AD36" i="8"/>
  <c r="AE36" i="8"/>
  <c r="AF36" i="8"/>
  <c r="AG36" i="8"/>
  <c r="AH36" i="8"/>
  <c r="AI36" i="8"/>
  <c r="AJ36" i="8"/>
  <c r="AD37" i="8"/>
  <c r="AE37" i="8"/>
  <c r="AF37" i="8"/>
  <c r="AG37" i="8"/>
  <c r="AH37" i="8"/>
  <c r="AI37" i="8"/>
  <c r="AJ37" i="8"/>
  <c r="AD38" i="8"/>
  <c r="AE38" i="8"/>
  <c r="AF38" i="8"/>
  <c r="AG38" i="8"/>
  <c r="AH38" i="8"/>
  <c r="AI38" i="8"/>
  <c r="AJ38" i="8"/>
  <c r="AD39" i="8"/>
  <c r="AE39" i="8"/>
  <c r="AF39" i="8"/>
  <c r="AG39" i="8"/>
  <c r="AH39" i="8"/>
  <c r="AI39" i="8"/>
  <c r="AJ39" i="8"/>
  <c r="AD40" i="8"/>
  <c r="AE40" i="8"/>
  <c r="AF40" i="8"/>
  <c r="AG40" i="8"/>
  <c r="AH40" i="8"/>
  <c r="AI40" i="8"/>
  <c r="AJ40" i="8"/>
  <c r="AD41" i="8"/>
  <c r="AE41" i="8"/>
  <c r="AF41" i="8"/>
  <c r="AG41" i="8"/>
  <c r="AH41" i="8"/>
  <c r="AI41" i="8"/>
  <c r="AJ41" i="8"/>
  <c r="AD42" i="8"/>
  <c r="AE42" i="8"/>
  <c r="AF42" i="8"/>
  <c r="AG42" i="8"/>
  <c r="AH42" i="8"/>
  <c r="AI42" i="8"/>
  <c r="AJ42" i="8"/>
  <c r="AD43" i="8"/>
  <c r="AE43" i="8"/>
  <c r="AF43" i="8"/>
  <c r="AG43" i="8"/>
  <c r="AH43" i="8"/>
  <c r="AI43" i="8"/>
  <c r="AJ43" i="8"/>
  <c r="AD44" i="8"/>
  <c r="AE44" i="8"/>
  <c r="AF44" i="8"/>
  <c r="AG44" i="8"/>
  <c r="AH44" i="8"/>
  <c r="AI44" i="8"/>
  <c r="AJ44" i="8"/>
  <c r="AD45" i="8"/>
  <c r="AE45" i="8"/>
  <c r="AF45" i="8"/>
  <c r="AG45" i="8"/>
  <c r="AH45" i="8"/>
  <c r="AI45" i="8"/>
  <c r="AJ45" i="8"/>
  <c r="AD46" i="8"/>
  <c r="AE46" i="8"/>
  <c r="AF46" i="8"/>
  <c r="AG46" i="8"/>
  <c r="AH46" i="8"/>
  <c r="AI46" i="8"/>
  <c r="AJ46" i="8"/>
  <c r="AD47" i="8"/>
  <c r="AE47" i="8"/>
  <c r="AF47" i="8"/>
  <c r="AG47" i="8"/>
  <c r="AH47" i="8"/>
  <c r="AI47" i="8"/>
  <c r="AJ47" i="8"/>
  <c r="AD48" i="8"/>
  <c r="AE48" i="8"/>
  <c r="AF48" i="8"/>
  <c r="AG48" i="8"/>
  <c r="AH48" i="8"/>
  <c r="AI48" i="8"/>
  <c r="AJ48" i="8"/>
  <c r="AD49" i="8"/>
  <c r="AE49" i="8"/>
  <c r="AF49" i="8"/>
  <c r="AG49" i="8"/>
  <c r="AH49" i="8"/>
  <c r="AI49" i="8"/>
  <c r="AJ49" i="8"/>
  <c r="AD50" i="8"/>
  <c r="AE50" i="8"/>
  <c r="AF50" i="8"/>
  <c r="AG50" i="8"/>
  <c r="AH50" i="8"/>
  <c r="AI50" i="8"/>
  <c r="AJ50" i="8"/>
  <c r="AD51" i="8"/>
  <c r="AE51" i="8"/>
  <c r="AF51" i="8"/>
  <c r="AG51" i="8"/>
  <c r="AH51" i="8"/>
  <c r="AI51" i="8"/>
  <c r="AJ51" i="8"/>
  <c r="AD52" i="8"/>
  <c r="AE52" i="8"/>
  <c r="AF52" i="8"/>
  <c r="AG52" i="8"/>
  <c r="AH52" i="8"/>
  <c r="AI52" i="8"/>
  <c r="AJ52" i="8"/>
  <c r="AD53" i="8"/>
  <c r="AE53" i="8"/>
  <c r="AF53" i="8"/>
  <c r="AG53" i="8"/>
  <c r="AH53" i="8"/>
  <c r="AI53" i="8"/>
  <c r="AJ53" i="8"/>
  <c r="AD54" i="8"/>
  <c r="AE54" i="8"/>
  <c r="AF54" i="8"/>
  <c r="AG54" i="8"/>
  <c r="AH54" i="8"/>
  <c r="AI54" i="8"/>
  <c r="AJ54" i="8"/>
  <c r="AD55" i="8"/>
  <c r="AE55" i="8"/>
  <c r="AF55" i="8"/>
  <c r="AG55" i="8"/>
  <c r="AH55" i="8"/>
  <c r="AI55" i="8"/>
  <c r="AJ55" i="8"/>
  <c r="AD56" i="8"/>
  <c r="AE56" i="8"/>
  <c r="AF56" i="8"/>
  <c r="AG56" i="8"/>
  <c r="AH56" i="8"/>
  <c r="AI56" i="8"/>
  <c r="AJ56" i="8"/>
  <c r="AD57" i="8"/>
  <c r="AE57" i="8"/>
  <c r="AF57" i="8"/>
  <c r="AG57" i="8"/>
  <c r="AH57" i="8"/>
  <c r="AI57" i="8"/>
  <c r="AJ57" i="8"/>
  <c r="AD58" i="8"/>
  <c r="AE58" i="8"/>
  <c r="AF58" i="8"/>
  <c r="AG58" i="8"/>
  <c r="AH58" i="8"/>
  <c r="AI58" i="8"/>
  <c r="AJ58" i="8"/>
  <c r="AD59" i="8"/>
  <c r="AE59" i="8"/>
  <c r="AF59" i="8"/>
  <c r="AG59" i="8"/>
  <c r="AH59" i="8"/>
  <c r="AI59" i="8"/>
  <c r="AJ59" i="8"/>
  <c r="AD60" i="8"/>
  <c r="AE60" i="8"/>
  <c r="AF60" i="8"/>
  <c r="AG60" i="8"/>
  <c r="AH60" i="8"/>
  <c r="AI60" i="8"/>
  <c r="AJ60" i="8"/>
  <c r="AD61" i="8"/>
  <c r="AE61" i="8"/>
  <c r="AF61" i="8"/>
  <c r="AG61" i="8"/>
  <c r="AH61" i="8"/>
  <c r="AI61" i="8"/>
  <c r="AJ61" i="8"/>
  <c r="AD62" i="8"/>
  <c r="AE62" i="8"/>
  <c r="AF62" i="8"/>
  <c r="AG62" i="8"/>
  <c r="AH62" i="8"/>
  <c r="AI62" i="8"/>
  <c r="AJ62" i="8"/>
  <c r="AD63" i="8"/>
  <c r="AE63" i="8"/>
  <c r="AF63" i="8"/>
  <c r="AG63" i="8"/>
  <c r="AH63" i="8"/>
  <c r="AI63" i="8"/>
  <c r="AJ63" i="8"/>
  <c r="AD64" i="8"/>
  <c r="AE64" i="8"/>
  <c r="AF64" i="8"/>
  <c r="AG64" i="8"/>
  <c r="AH64" i="8"/>
  <c r="AI64" i="8"/>
  <c r="AJ64" i="8"/>
  <c r="AD65" i="8"/>
  <c r="AE65" i="8"/>
  <c r="AF65" i="8"/>
  <c r="AG65" i="8"/>
  <c r="AH65" i="8"/>
  <c r="AI65" i="8"/>
  <c r="AJ65" i="8"/>
  <c r="AD66" i="8"/>
  <c r="AE66" i="8"/>
  <c r="AF66" i="8"/>
  <c r="AG66" i="8"/>
  <c r="AH66" i="8"/>
  <c r="AI66" i="8"/>
  <c r="AJ66" i="8"/>
  <c r="AD67" i="8"/>
  <c r="AE67" i="8"/>
  <c r="AF67" i="8"/>
  <c r="AG67" i="8"/>
  <c r="AH67" i="8"/>
  <c r="AI67" i="8"/>
  <c r="AJ67" i="8"/>
  <c r="AD68" i="8"/>
  <c r="AE68" i="8"/>
  <c r="AF68" i="8"/>
  <c r="AG68" i="8"/>
  <c r="AH68" i="8"/>
  <c r="AI68" i="8"/>
  <c r="AJ68" i="8"/>
  <c r="AD69" i="8"/>
  <c r="AE69" i="8"/>
  <c r="AF69" i="8"/>
  <c r="AG69" i="8"/>
  <c r="AH69" i="8"/>
  <c r="AI69" i="8"/>
  <c r="AJ69" i="8"/>
  <c r="AD70" i="8"/>
  <c r="AE70" i="8"/>
  <c r="AF70" i="8"/>
  <c r="AG70" i="8"/>
  <c r="AH70" i="8"/>
  <c r="AI70" i="8"/>
  <c r="AJ70" i="8"/>
  <c r="AD71" i="8"/>
  <c r="AE71" i="8"/>
  <c r="AF71" i="8"/>
  <c r="AG71" i="8"/>
  <c r="AH71" i="8"/>
  <c r="AI71" i="8"/>
  <c r="AJ71" i="8"/>
  <c r="AD72" i="8"/>
  <c r="AE72" i="8"/>
  <c r="AF72" i="8"/>
  <c r="AG72" i="8"/>
  <c r="AH72" i="8"/>
  <c r="AI72" i="8"/>
  <c r="AJ72" i="8"/>
  <c r="AD73" i="8"/>
  <c r="AE73" i="8"/>
  <c r="AF73" i="8"/>
  <c r="AG73" i="8"/>
  <c r="AH73" i="8"/>
  <c r="AI73" i="8"/>
  <c r="AJ73" i="8"/>
  <c r="AD74" i="8"/>
  <c r="AE74" i="8"/>
  <c r="AF74" i="8"/>
  <c r="AG74" i="8"/>
  <c r="AH74" i="8"/>
  <c r="AI74" i="8"/>
  <c r="AJ74" i="8"/>
  <c r="AD75" i="8"/>
  <c r="AE75" i="8"/>
  <c r="AF75" i="8"/>
  <c r="AG75" i="8"/>
  <c r="AH75" i="8"/>
  <c r="AI75" i="8"/>
  <c r="AJ75" i="8"/>
  <c r="AD76" i="8"/>
  <c r="AE76" i="8"/>
  <c r="AF76" i="8"/>
  <c r="AG76" i="8"/>
  <c r="AH76" i="8"/>
  <c r="AI76" i="8"/>
  <c r="AJ76" i="8"/>
  <c r="AD77" i="8"/>
  <c r="AE77" i="8"/>
  <c r="AF77" i="8"/>
  <c r="AG77" i="8"/>
  <c r="AH77" i="8"/>
  <c r="AI77" i="8"/>
  <c r="AJ77" i="8"/>
  <c r="AD78" i="8"/>
  <c r="AE78" i="8"/>
  <c r="AF78" i="8"/>
  <c r="AG78" i="8"/>
  <c r="AH78" i="8"/>
  <c r="AI78" i="8"/>
  <c r="AJ78" i="8"/>
  <c r="AE6" i="8"/>
  <c r="AF6" i="8"/>
  <c r="AG6" i="8"/>
  <c r="AH6" i="8"/>
  <c r="AI6" i="8"/>
  <c r="AJ6" i="8"/>
  <c r="AD6" i="8"/>
  <c r="AE5" i="8"/>
  <c r="AF5" i="8"/>
  <c r="AG5" i="8"/>
  <c r="AH5" i="8"/>
  <c r="AI5" i="8"/>
  <c r="AJ5" i="8"/>
  <c r="AD5" i="8"/>
  <c r="W7" i="8"/>
  <c r="X7" i="8"/>
  <c r="Y7" i="8"/>
  <c r="Z7" i="8"/>
  <c r="AA7" i="8"/>
  <c r="AB7" i="8"/>
  <c r="AC7" i="8"/>
  <c r="W8" i="8"/>
  <c r="X8" i="8"/>
  <c r="Y8" i="8"/>
  <c r="Z8" i="8"/>
  <c r="AA8" i="8"/>
  <c r="AB8" i="8"/>
  <c r="AC8" i="8"/>
  <c r="W9" i="8"/>
  <c r="X9" i="8"/>
  <c r="Y9" i="8"/>
  <c r="Z9" i="8"/>
  <c r="AA9" i="8"/>
  <c r="AB9" i="8"/>
  <c r="AC9" i="8"/>
  <c r="W10" i="8"/>
  <c r="X10" i="8"/>
  <c r="Y10" i="8"/>
  <c r="Z10" i="8"/>
  <c r="AA10" i="8"/>
  <c r="AB10" i="8"/>
  <c r="AC10" i="8"/>
  <c r="W11" i="8"/>
  <c r="X11" i="8"/>
  <c r="Y11" i="8"/>
  <c r="Z11" i="8"/>
  <c r="AA11" i="8"/>
  <c r="AB11" i="8"/>
  <c r="AC11" i="8"/>
  <c r="W12" i="8"/>
  <c r="X12" i="8"/>
  <c r="Y12" i="8"/>
  <c r="Z12" i="8"/>
  <c r="AA12" i="8"/>
  <c r="AB12" i="8"/>
  <c r="AC12" i="8"/>
  <c r="W13" i="8"/>
  <c r="X13" i="8"/>
  <c r="Y13" i="8"/>
  <c r="Z13" i="8"/>
  <c r="AA13" i="8"/>
  <c r="AB13" i="8"/>
  <c r="AC13" i="8"/>
  <c r="W14" i="8"/>
  <c r="X14" i="8"/>
  <c r="Y14" i="8"/>
  <c r="Z14" i="8"/>
  <c r="AA14" i="8"/>
  <c r="AB14" i="8"/>
  <c r="AC14" i="8"/>
  <c r="W15" i="8"/>
  <c r="X15" i="8"/>
  <c r="Y15" i="8"/>
  <c r="Z15" i="8"/>
  <c r="AA15" i="8"/>
  <c r="AB15" i="8"/>
  <c r="AC15" i="8"/>
  <c r="W16" i="8"/>
  <c r="X16" i="8"/>
  <c r="Y16" i="8"/>
  <c r="Z16" i="8"/>
  <c r="AA16" i="8"/>
  <c r="AB16" i="8"/>
  <c r="AC16" i="8"/>
  <c r="W17" i="8"/>
  <c r="X17" i="8"/>
  <c r="Y17" i="8"/>
  <c r="Z17" i="8"/>
  <c r="AA17" i="8"/>
  <c r="AB17" i="8"/>
  <c r="AC17" i="8"/>
  <c r="W18" i="8"/>
  <c r="X18" i="8"/>
  <c r="Y18" i="8"/>
  <c r="Z18" i="8"/>
  <c r="AA18" i="8"/>
  <c r="AB18" i="8"/>
  <c r="AC18" i="8"/>
  <c r="W19" i="8"/>
  <c r="X19" i="8"/>
  <c r="Y19" i="8"/>
  <c r="Z19" i="8"/>
  <c r="AA19" i="8"/>
  <c r="AB19" i="8"/>
  <c r="AC19" i="8"/>
  <c r="W20" i="8"/>
  <c r="X20" i="8"/>
  <c r="Y20" i="8"/>
  <c r="Z20" i="8"/>
  <c r="AA20" i="8"/>
  <c r="AB20" i="8"/>
  <c r="AC20" i="8"/>
  <c r="W21" i="8"/>
  <c r="X21" i="8"/>
  <c r="Y21" i="8"/>
  <c r="Z21" i="8"/>
  <c r="AA21" i="8"/>
  <c r="AB21" i="8"/>
  <c r="AC21" i="8"/>
  <c r="W22" i="8"/>
  <c r="X22" i="8"/>
  <c r="Y22" i="8"/>
  <c r="Z22" i="8"/>
  <c r="AA22" i="8"/>
  <c r="AB22" i="8"/>
  <c r="AC22" i="8"/>
  <c r="W23" i="8"/>
  <c r="X23" i="8"/>
  <c r="Y23" i="8"/>
  <c r="Z23" i="8"/>
  <c r="AA23" i="8"/>
  <c r="AB23" i="8"/>
  <c r="AC23" i="8"/>
  <c r="W24" i="8"/>
  <c r="X24" i="8"/>
  <c r="Y24" i="8"/>
  <c r="Z24" i="8"/>
  <c r="AA24" i="8"/>
  <c r="AB24" i="8"/>
  <c r="AC24" i="8"/>
  <c r="W25" i="8"/>
  <c r="X25" i="8"/>
  <c r="Y25" i="8"/>
  <c r="Z25" i="8"/>
  <c r="AA25" i="8"/>
  <c r="AB25" i="8"/>
  <c r="AC25" i="8"/>
  <c r="W26" i="8"/>
  <c r="X26" i="8"/>
  <c r="Y26" i="8"/>
  <c r="Z26" i="8"/>
  <c r="AA26" i="8"/>
  <c r="AB26" i="8"/>
  <c r="AC26" i="8"/>
  <c r="W27" i="8"/>
  <c r="X27" i="8"/>
  <c r="Y27" i="8"/>
  <c r="Z27" i="8"/>
  <c r="AA27" i="8"/>
  <c r="AB27" i="8"/>
  <c r="AC27" i="8"/>
  <c r="W28" i="8"/>
  <c r="X28" i="8"/>
  <c r="Y28" i="8"/>
  <c r="Z28" i="8"/>
  <c r="AA28" i="8"/>
  <c r="AB28" i="8"/>
  <c r="AC28" i="8"/>
  <c r="W29" i="8"/>
  <c r="X29" i="8"/>
  <c r="Y29" i="8"/>
  <c r="Z29" i="8"/>
  <c r="AA29" i="8"/>
  <c r="AB29" i="8"/>
  <c r="AC29" i="8"/>
  <c r="W30" i="8"/>
  <c r="X30" i="8"/>
  <c r="Y30" i="8"/>
  <c r="Z30" i="8"/>
  <c r="AA30" i="8"/>
  <c r="AB30" i="8"/>
  <c r="AC30" i="8"/>
  <c r="W31" i="8"/>
  <c r="X31" i="8"/>
  <c r="Y31" i="8"/>
  <c r="Z31" i="8"/>
  <c r="AA31" i="8"/>
  <c r="AB31" i="8"/>
  <c r="AC31" i="8"/>
  <c r="W32" i="8"/>
  <c r="X32" i="8"/>
  <c r="Y32" i="8"/>
  <c r="Z32" i="8"/>
  <c r="AA32" i="8"/>
  <c r="AB32" i="8"/>
  <c r="AC32" i="8"/>
  <c r="W33" i="8"/>
  <c r="X33" i="8"/>
  <c r="Y33" i="8"/>
  <c r="Z33" i="8"/>
  <c r="AA33" i="8"/>
  <c r="AB33" i="8"/>
  <c r="AC33" i="8"/>
  <c r="W34" i="8"/>
  <c r="X34" i="8"/>
  <c r="Y34" i="8"/>
  <c r="Z34" i="8"/>
  <c r="AA34" i="8"/>
  <c r="AB34" i="8"/>
  <c r="AC34" i="8"/>
  <c r="W35" i="8"/>
  <c r="X35" i="8"/>
  <c r="Y35" i="8"/>
  <c r="Z35" i="8"/>
  <c r="AA35" i="8"/>
  <c r="AB35" i="8"/>
  <c r="AC35" i="8"/>
  <c r="W36" i="8"/>
  <c r="X36" i="8"/>
  <c r="Y36" i="8"/>
  <c r="Z36" i="8"/>
  <c r="AA36" i="8"/>
  <c r="AB36" i="8"/>
  <c r="AC36" i="8"/>
  <c r="W37" i="8"/>
  <c r="X37" i="8"/>
  <c r="Y37" i="8"/>
  <c r="Z37" i="8"/>
  <c r="AA37" i="8"/>
  <c r="AB37" i="8"/>
  <c r="AC37" i="8"/>
  <c r="W38" i="8"/>
  <c r="X38" i="8"/>
  <c r="Y38" i="8"/>
  <c r="Z38" i="8"/>
  <c r="AA38" i="8"/>
  <c r="AB38" i="8"/>
  <c r="AC38" i="8"/>
  <c r="W39" i="8"/>
  <c r="X39" i="8"/>
  <c r="Y39" i="8"/>
  <c r="Z39" i="8"/>
  <c r="AA39" i="8"/>
  <c r="AB39" i="8"/>
  <c r="AC39" i="8"/>
  <c r="W40" i="8"/>
  <c r="X40" i="8"/>
  <c r="Y40" i="8"/>
  <c r="Z40" i="8"/>
  <c r="AA40" i="8"/>
  <c r="AB40" i="8"/>
  <c r="AC40" i="8"/>
  <c r="W41" i="8"/>
  <c r="X41" i="8"/>
  <c r="Y41" i="8"/>
  <c r="Z41" i="8"/>
  <c r="AA41" i="8"/>
  <c r="AB41" i="8"/>
  <c r="AC41" i="8"/>
  <c r="W42" i="8"/>
  <c r="X42" i="8"/>
  <c r="Y42" i="8"/>
  <c r="Z42" i="8"/>
  <c r="AA42" i="8"/>
  <c r="AB42" i="8"/>
  <c r="AC42" i="8"/>
  <c r="W43" i="8"/>
  <c r="X43" i="8"/>
  <c r="Y43" i="8"/>
  <c r="Z43" i="8"/>
  <c r="AA43" i="8"/>
  <c r="AB43" i="8"/>
  <c r="AC43" i="8"/>
  <c r="W44" i="8"/>
  <c r="X44" i="8"/>
  <c r="Y44" i="8"/>
  <c r="Z44" i="8"/>
  <c r="AA44" i="8"/>
  <c r="AB44" i="8"/>
  <c r="AC44" i="8"/>
  <c r="W45" i="8"/>
  <c r="X45" i="8"/>
  <c r="Y45" i="8"/>
  <c r="Z45" i="8"/>
  <c r="AA45" i="8"/>
  <c r="AB45" i="8"/>
  <c r="AC45" i="8"/>
  <c r="W46" i="8"/>
  <c r="X46" i="8"/>
  <c r="Y46" i="8"/>
  <c r="Z46" i="8"/>
  <c r="AA46" i="8"/>
  <c r="AB46" i="8"/>
  <c r="AC46" i="8"/>
  <c r="W47" i="8"/>
  <c r="X47" i="8"/>
  <c r="Y47" i="8"/>
  <c r="Z47" i="8"/>
  <c r="AA47" i="8"/>
  <c r="AB47" i="8"/>
  <c r="AC47" i="8"/>
  <c r="W48" i="8"/>
  <c r="X48" i="8"/>
  <c r="Y48" i="8"/>
  <c r="Z48" i="8"/>
  <c r="AA48" i="8"/>
  <c r="AB48" i="8"/>
  <c r="AC48" i="8"/>
  <c r="W49" i="8"/>
  <c r="X49" i="8"/>
  <c r="Y49" i="8"/>
  <c r="Z49" i="8"/>
  <c r="AA49" i="8"/>
  <c r="AB49" i="8"/>
  <c r="AC49" i="8"/>
  <c r="W50" i="8"/>
  <c r="X50" i="8"/>
  <c r="Y50" i="8"/>
  <c r="Z50" i="8"/>
  <c r="AA50" i="8"/>
  <c r="AB50" i="8"/>
  <c r="AC50" i="8"/>
  <c r="W51" i="8"/>
  <c r="X51" i="8"/>
  <c r="Y51" i="8"/>
  <c r="Z51" i="8"/>
  <c r="AA51" i="8"/>
  <c r="AB51" i="8"/>
  <c r="AC51" i="8"/>
  <c r="W52" i="8"/>
  <c r="X52" i="8"/>
  <c r="Y52" i="8"/>
  <c r="Z52" i="8"/>
  <c r="AA52" i="8"/>
  <c r="AB52" i="8"/>
  <c r="AC52" i="8"/>
  <c r="W53" i="8"/>
  <c r="X53" i="8"/>
  <c r="Y53" i="8"/>
  <c r="Z53" i="8"/>
  <c r="AA53" i="8"/>
  <c r="AB53" i="8"/>
  <c r="AC53" i="8"/>
  <c r="W54" i="8"/>
  <c r="X54" i="8"/>
  <c r="Y54" i="8"/>
  <c r="Z54" i="8"/>
  <c r="AA54" i="8"/>
  <c r="AB54" i="8"/>
  <c r="AC54" i="8"/>
  <c r="W55" i="8"/>
  <c r="X55" i="8"/>
  <c r="Y55" i="8"/>
  <c r="Z55" i="8"/>
  <c r="AA55" i="8"/>
  <c r="AB55" i="8"/>
  <c r="AC55" i="8"/>
  <c r="W56" i="8"/>
  <c r="X56" i="8"/>
  <c r="Y56" i="8"/>
  <c r="Z56" i="8"/>
  <c r="AA56" i="8"/>
  <c r="AB56" i="8"/>
  <c r="AC56" i="8"/>
  <c r="W57" i="8"/>
  <c r="X57" i="8"/>
  <c r="Y57" i="8"/>
  <c r="Z57" i="8"/>
  <c r="AA57" i="8"/>
  <c r="AB57" i="8"/>
  <c r="AC57" i="8"/>
  <c r="W58" i="8"/>
  <c r="X58" i="8"/>
  <c r="Y58" i="8"/>
  <c r="Z58" i="8"/>
  <c r="AA58" i="8"/>
  <c r="AB58" i="8"/>
  <c r="AC58" i="8"/>
  <c r="W59" i="8"/>
  <c r="X59" i="8"/>
  <c r="Y59" i="8"/>
  <c r="Z59" i="8"/>
  <c r="AA59" i="8"/>
  <c r="AB59" i="8"/>
  <c r="AC59" i="8"/>
  <c r="W60" i="8"/>
  <c r="X60" i="8"/>
  <c r="Y60" i="8"/>
  <c r="Z60" i="8"/>
  <c r="AA60" i="8"/>
  <c r="AB60" i="8"/>
  <c r="AC60" i="8"/>
  <c r="W61" i="8"/>
  <c r="X61" i="8"/>
  <c r="Y61" i="8"/>
  <c r="Z61" i="8"/>
  <c r="AA61" i="8"/>
  <c r="AB61" i="8"/>
  <c r="AC61" i="8"/>
  <c r="W62" i="8"/>
  <c r="X62" i="8"/>
  <c r="Y62" i="8"/>
  <c r="Z62" i="8"/>
  <c r="AA62" i="8"/>
  <c r="AB62" i="8"/>
  <c r="AC62" i="8"/>
  <c r="W63" i="8"/>
  <c r="X63" i="8"/>
  <c r="Y63" i="8"/>
  <c r="Z63" i="8"/>
  <c r="AA63" i="8"/>
  <c r="AB63" i="8"/>
  <c r="AC63" i="8"/>
  <c r="W64" i="8"/>
  <c r="X64" i="8"/>
  <c r="Y64" i="8"/>
  <c r="Z64" i="8"/>
  <c r="AA64" i="8"/>
  <c r="AB64" i="8"/>
  <c r="AC64" i="8"/>
  <c r="W65" i="8"/>
  <c r="X65" i="8"/>
  <c r="Y65" i="8"/>
  <c r="Z65" i="8"/>
  <c r="AA65" i="8"/>
  <c r="AB65" i="8"/>
  <c r="AC65" i="8"/>
  <c r="W66" i="8"/>
  <c r="X66" i="8"/>
  <c r="Y66" i="8"/>
  <c r="Z66" i="8"/>
  <c r="AA66" i="8"/>
  <c r="AB66" i="8"/>
  <c r="AC66" i="8"/>
  <c r="W67" i="8"/>
  <c r="X67" i="8"/>
  <c r="Y67" i="8"/>
  <c r="Z67" i="8"/>
  <c r="AA67" i="8"/>
  <c r="AB67" i="8"/>
  <c r="AC67" i="8"/>
  <c r="W68" i="8"/>
  <c r="X68" i="8"/>
  <c r="Y68" i="8"/>
  <c r="Z68" i="8"/>
  <c r="AA68" i="8"/>
  <c r="AB68" i="8"/>
  <c r="AC68" i="8"/>
  <c r="W69" i="8"/>
  <c r="X69" i="8"/>
  <c r="Y69" i="8"/>
  <c r="Z69" i="8"/>
  <c r="AA69" i="8"/>
  <c r="AB69" i="8"/>
  <c r="AC69" i="8"/>
  <c r="W70" i="8"/>
  <c r="X70" i="8"/>
  <c r="Y70" i="8"/>
  <c r="Z70" i="8"/>
  <c r="AA70" i="8"/>
  <c r="AB70" i="8"/>
  <c r="AC70" i="8"/>
  <c r="W71" i="8"/>
  <c r="X71" i="8"/>
  <c r="Y71" i="8"/>
  <c r="Z71" i="8"/>
  <c r="AA71" i="8"/>
  <c r="AB71" i="8"/>
  <c r="AC71" i="8"/>
  <c r="W72" i="8"/>
  <c r="X72" i="8"/>
  <c r="Y72" i="8"/>
  <c r="Z72" i="8"/>
  <c r="AA72" i="8"/>
  <c r="AB72" i="8"/>
  <c r="AC72" i="8"/>
  <c r="W73" i="8"/>
  <c r="X73" i="8"/>
  <c r="Y73" i="8"/>
  <c r="Z73" i="8"/>
  <c r="AA73" i="8"/>
  <c r="AB73" i="8"/>
  <c r="AC73" i="8"/>
  <c r="W74" i="8"/>
  <c r="X74" i="8"/>
  <c r="Y74" i="8"/>
  <c r="Z74" i="8"/>
  <c r="AA74" i="8"/>
  <c r="AB74" i="8"/>
  <c r="AC74" i="8"/>
  <c r="W75" i="8"/>
  <c r="X75" i="8"/>
  <c r="Y75" i="8"/>
  <c r="Z75" i="8"/>
  <c r="AA75" i="8"/>
  <c r="AB75" i="8"/>
  <c r="AC75" i="8"/>
  <c r="W76" i="8"/>
  <c r="X76" i="8"/>
  <c r="Y76" i="8"/>
  <c r="Z76" i="8"/>
  <c r="AA76" i="8"/>
  <c r="AB76" i="8"/>
  <c r="AC76" i="8"/>
  <c r="W77" i="8"/>
  <c r="X77" i="8"/>
  <c r="Y77" i="8"/>
  <c r="Z77" i="8"/>
  <c r="AA77" i="8"/>
  <c r="AB77" i="8"/>
  <c r="AC77" i="8"/>
  <c r="W78" i="8"/>
  <c r="X78" i="8"/>
  <c r="Y78" i="8"/>
  <c r="Z78" i="8"/>
  <c r="AA78" i="8"/>
  <c r="AB78" i="8"/>
  <c r="AC78" i="8"/>
  <c r="X6" i="8"/>
  <c r="Y6" i="8"/>
  <c r="Z6" i="8"/>
  <c r="AA6" i="8"/>
  <c r="AB6" i="8"/>
  <c r="AC6" i="8"/>
  <c r="W6" i="8"/>
  <c r="X5" i="8"/>
  <c r="Y5" i="8"/>
  <c r="Z5" i="8"/>
  <c r="AA5" i="8"/>
  <c r="AB5" i="8"/>
  <c r="AC5" i="8"/>
  <c r="W5" i="8"/>
  <c r="P7" i="8"/>
  <c r="Q7" i="8"/>
  <c r="R7" i="8"/>
  <c r="S7" i="8"/>
  <c r="T7" i="8"/>
  <c r="U7" i="8"/>
  <c r="V7" i="8"/>
  <c r="P8" i="8"/>
  <c r="Q8" i="8"/>
  <c r="R8" i="8"/>
  <c r="S8" i="8"/>
  <c r="T8" i="8"/>
  <c r="U8" i="8"/>
  <c r="V8" i="8"/>
  <c r="P9" i="8"/>
  <c r="Q9" i="8"/>
  <c r="R9" i="8"/>
  <c r="S9" i="8"/>
  <c r="T9" i="8"/>
  <c r="U9" i="8"/>
  <c r="V9" i="8"/>
  <c r="P10" i="8"/>
  <c r="Q10" i="8"/>
  <c r="R10" i="8"/>
  <c r="S10" i="8"/>
  <c r="T10" i="8"/>
  <c r="U10" i="8"/>
  <c r="V10" i="8"/>
  <c r="P11" i="8"/>
  <c r="Q11" i="8"/>
  <c r="R11" i="8"/>
  <c r="S11" i="8"/>
  <c r="T11" i="8"/>
  <c r="U11" i="8"/>
  <c r="V11" i="8"/>
  <c r="P12" i="8"/>
  <c r="Q12" i="8"/>
  <c r="R12" i="8"/>
  <c r="S12" i="8"/>
  <c r="T12" i="8"/>
  <c r="U12" i="8"/>
  <c r="V12" i="8"/>
  <c r="P13" i="8"/>
  <c r="Q13" i="8"/>
  <c r="R13" i="8"/>
  <c r="S13" i="8"/>
  <c r="T13" i="8"/>
  <c r="U13" i="8"/>
  <c r="V13" i="8"/>
  <c r="P14" i="8"/>
  <c r="Q14" i="8"/>
  <c r="R14" i="8"/>
  <c r="S14" i="8"/>
  <c r="T14" i="8"/>
  <c r="U14" i="8"/>
  <c r="V14" i="8"/>
  <c r="P15" i="8"/>
  <c r="Q15" i="8"/>
  <c r="R15" i="8"/>
  <c r="S15" i="8"/>
  <c r="T15" i="8"/>
  <c r="U15" i="8"/>
  <c r="V15" i="8"/>
  <c r="P16" i="8"/>
  <c r="Q16" i="8"/>
  <c r="R16" i="8"/>
  <c r="S16" i="8"/>
  <c r="T16" i="8"/>
  <c r="U16" i="8"/>
  <c r="V16" i="8"/>
  <c r="P17" i="8"/>
  <c r="Q17" i="8"/>
  <c r="R17" i="8"/>
  <c r="S17" i="8"/>
  <c r="T17" i="8"/>
  <c r="U17" i="8"/>
  <c r="V17" i="8"/>
  <c r="P18" i="8"/>
  <c r="Q18" i="8"/>
  <c r="R18" i="8"/>
  <c r="S18" i="8"/>
  <c r="T18" i="8"/>
  <c r="U18" i="8"/>
  <c r="V18" i="8"/>
  <c r="P19" i="8"/>
  <c r="Q19" i="8"/>
  <c r="R19" i="8"/>
  <c r="S19" i="8"/>
  <c r="T19" i="8"/>
  <c r="U19" i="8"/>
  <c r="V19" i="8"/>
  <c r="P20" i="8"/>
  <c r="Q20" i="8"/>
  <c r="R20" i="8"/>
  <c r="S20" i="8"/>
  <c r="T20" i="8"/>
  <c r="U20" i="8"/>
  <c r="V20" i="8"/>
  <c r="P21" i="8"/>
  <c r="Q21" i="8"/>
  <c r="R21" i="8"/>
  <c r="S21" i="8"/>
  <c r="T21" i="8"/>
  <c r="U21" i="8"/>
  <c r="V21" i="8"/>
  <c r="P22" i="8"/>
  <c r="Q22" i="8"/>
  <c r="R22" i="8"/>
  <c r="S22" i="8"/>
  <c r="T22" i="8"/>
  <c r="U22" i="8"/>
  <c r="V22" i="8"/>
  <c r="P23" i="8"/>
  <c r="Q23" i="8"/>
  <c r="R23" i="8"/>
  <c r="S23" i="8"/>
  <c r="T23" i="8"/>
  <c r="U23" i="8"/>
  <c r="V23" i="8"/>
  <c r="P24" i="8"/>
  <c r="Q24" i="8"/>
  <c r="R24" i="8"/>
  <c r="S24" i="8"/>
  <c r="T24" i="8"/>
  <c r="U24" i="8"/>
  <c r="V24" i="8"/>
  <c r="P25" i="8"/>
  <c r="Q25" i="8"/>
  <c r="R25" i="8"/>
  <c r="S25" i="8"/>
  <c r="T25" i="8"/>
  <c r="U25" i="8"/>
  <c r="V25" i="8"/>
  <c r="P26" i="8"/>
  <c r="Q26" i="8"/>
  <c r="R26" i="8"/>
  <c r="S26" i="8"/>
  <c r="T26" i="8"/>
  <c r="U26" i="8"/>
  <c r="V26" i="8"/>
  <c r="P27" i="8"/>
  <c r="Q27" i="8"/>
  <c r="R27" i="8"/>
  <c r="S27" i="8"/>
  <c r="T27" i="8"/>
  <c r="U27" i="8"/>
  <c r="V27" i="8"/>
  <c r="P28" i="8"/>
  <c r="Q28" i="8"/>
  <c r="R28" i="8"/>
  <c r="S28" i="8"/>
  <c r="T28" i="8"/>
  <c r="U28" i="8"/>
  <c r="V28" i="8"/>
  <c r="P29" i="8"/>
  <c r="Q29" i="8"/>
  <c r="R29" i="8"/>
  <c r="S29" i="8"/>
  <c r="T29" i="8"/>
  <c r="U29" i="8"/>
  <c r="V29" i="8"/>
  <c r="P30" i="8"/>
  <c r="Q30" i="8"/>
  <c r="R30" i="8"/>
  <c r="S30" i="8"/>
  <c r="T30" i="8"/>
  <c r="U30" i="8"/>
  <c r="V30" i="8"/>
  <c r="P31" i="8"/>
  <c r="Q31" i="8"/>
  <c r="R31" i="8"/>
  <c r="S31" i="8"/>
  <c r="T31" i="8"/>
  <c r="U31" i="8"/>
  <c r="V31" i="8"/>
  <c r="P32" i="8"/>
  <c r="Q32" i="8"/>
  <c r="R32" i="8"/>
  <c r="S32" i="8"/>
  <c r="T32" i="8"/>
  <c r="U32" i="8"/>
  <c r="V32" i="8"/>
  <c r="P33" i="8"/>
  <c r="Q33" i="8"/>
  <c r="R33" i="8"/>
  <c r="S33" i="8"/>
  <c r="T33" i="8"/>
  <c r="U33" i="8"/>
  <c r="V33" i="8"/>
  <c r="P34" i="8"/>
  <c r="Q34" i="8"/>
  <c r="R34" i="8"/>
  <c r="S34" i="8"/>
  <c r="T34" i="8"/>
  <c r="U34" i="8"/>
  <c r="V34" i="8"/>
  <c r="P35" i="8"/>
  <c r="Q35" i="8"/>
  <c r="R35" i="8"/>
  <c r="S35" i="8"/>
  <c r="T35" i="8"/>
  <c r="U35" i="8"/>
  <c r="V35" i="8"/>
  <c r="P36" i="8"/>
  <c r="Q36" i="8"/>
  <c r="R36" i="8"/>
  <c r="S36" i="8"/>
  <c r="T36" i="8"/>
  <c r="U36" i="8"/>
  <c r="V36" i="8"/>
  <c r="P37" i="8"/>
  <c r="Q37" i="8"/>
  <c r="R37" i="8"/>
  <c r="S37" i="8"/>
  <c r="T37" i="8"/>
  <c r="U37" i="8"/>
  <c r="V37" i="8"/>
  <c r="P38" i="8"/>
  <c r="Q38" i="8"/>
  <c r="R38" i="8"/>
  <c r="S38" i="8"/>
  <c r="T38" i="8"/>
  <c r="U38" i="8"/>
  <c r="V38" i="8"/>
  <c r="P39" i="8"/>
  <c r="Q39" i="8"/>
  <c r="R39" i="8"/>
  <c r="S39" i="8"/>
  <c r="T39" i="8"/>
  <c r="U39" i="8"/>
  <c r="V39" i="8"/>
  <c r="P40" i="8"/>
  <c r="Q40" i="8"/>
  <c r="R40" i="8"/>
  <c r="S40" i="8"/>
  <c r="T40" i="8"/>
  <c r="U40" i="8"/>
  <c r="V40" i="8"/>
  <c r="P41" i="8"/>
  <c r="Q41" i="8"/>
  <c r="R41" i="8"/>
  <c r="S41" i="8"/>
  <c r="T41" i="8"/>
  <c r="U41" i="8"/>
  <c r="V41" i="8"/>
  <c r="P42" i="8"/>
  <c r="Q42" i="8"/>
  <c r="R42" i="8"/>
  <c r="S42" i="8"/>
  <c r="T42" i="8"/>
  <c r="U42" i="8"/>
  <c r="V42" i="8"/>
  <c r="P43" i="8"/>
  <c r="Q43" i="8"/>
  <c r="R43" i="8"/>
  <c r="S43" i="8"/>
  <c r="T43" i="8"/>
  <c r="U43" i="8"/>
  <c r="V43" i="8"/>
  <c r="P44" i="8"/>
  <c r="Q44" i="8"/>
  <c r="R44" i="8"/>
  <c r="S44" i="8"/>
  <c r="T44" i="8"/>
  <c r="U44" i="8"/>
  <c r="V44" i="8"/>
  <c r="P45" i="8"/>
  <c r="Q45" i="8"/>
  <c r="R45" i="8"/>
  <c r="S45" i="8"/>
  <c r="T45" i="8"/>
  <c r="U45" i="8"/>
  <c r="V45" i="8"/>
  <c r="P46" i="8"/>
  <c r="Q46" i="8"/>
  <c r="R46" i="8"/>
  <c r="S46" i="8"/>
  <c r="T46" i="8"/>
  <c r="U46" i="8"/>
  <c r="V46" i="8"/>
  <c r="P47" i="8"/>
  <c r="Q47" i="8"/>
  <c r="R47" i="8"/>
  <c r="S47" i="8"/>
  <c r="T47" i="8"/>
  <c r="U47" i="8"/>
  <c r="V47" i="8"/>
  <c r="P48" i="8"/>
  <c r="Q48" i="8"/>
  <c r="R48" i="8"/>
  <c r="S48" i="8"/>
  <c r="T48" i="8"/>
  <c r="U48" i="8"/>
  <c r="V48" i="8"/>
  <c r="P49" i="8"/>
  <c r="Q49" i="8"/>
  <c r="R49" i="8"/>
  <c r="S49" i="8"/>
  <c r="T49" i="8"/>
  <c r="U49" i="8"/>
  <c r="V49" i="8"/>
  <c r="P50" i="8"/>
  <c r="Q50" i="8"/>
  <c r="R50" i="8"/>
  <c r="S50" i="8"/>
  <c r="T50" i="8"/>
  <c r="U50" i="8"/>
  <c r="V50" i="8"/>
  <c r="P51" i="8"/>
  <c r="Q51" i="8"/>
  <c r="R51" i="8"/>
  <c r="S51" i="8"/>
  <c r="T51" i="8"/>
  <c r="U51" i="8"/>
  <c r="V51" i="8"/>
  <c r="P52" i="8"/>
  <c r="Q52" i="8"/>
  <c r="R52" i="8"/>
  <c r="S52" i="8"/>
  <c r="T52" i="8"/>
  <c r="U52" i="8"/>
  <c r="V52" i="8"/>
  <c r="P53" i="8"/>
  <c r="Q53" i="8"/>
  <c r="R53" i="8"/>
  <c r="S53" i="8"/>
  <c r="T53" i="8"/>
  <c r="U53" i="8"/>
  <c r="V53" i="8"/>
  <c r="P54" i="8"/>
  <c r="Q54" i="8"/>
  <c r="R54" i="8"/>
  <c r="S54" i="8"/>
  <c r="T54" i="8"/>
  <c r="U54" i="8"/>
  <c r="V54" i="8"/>
  <c r="P55" i="8"/>
  <c r="Q55" i="8"/>
  <c r="R55" i="8"/>
  <c r="S55" i="8"/>
  <c r="T55" i="8"/>
  <c r="U55" i="8"/>
  <c r="V55" i="8"/>
  <c r="P56" i="8"/>
  <c r="Q56" i="8"/>
  <c r="R56" i="8"/>
  <c r="S56" i="8"/>
  <c r="T56" i="8"/>
  <c r="U56" i="8"/>
  <c r="V56" i="8"/>
  <c r="P57" i="8"/>
  <c r="Q57" i="8"/>
  <c r="R57" i="8"/>
  <c r="S57" i="8"/>
  <c r="T57" i="8"/>
  <c r="U57" i="8"/>
  <c r="V57" i="8"/>
  <c r="P58" i="8"/>
  <c r="Q58" i="8"/>
  <c r="R58" i="8"/>
  <c r="S58" i="8"/>
  <c r="T58" i="8"/>
  <c r="U58" i="8"/>
  <c r="V58" i="8"/>
  <c r="P59" i="8"/>
  <c r="Q59" i="8"/>
  <c r="R59" i="8"/>
  <c r="S59" i="8"/>
  <c r="T59" i="8"/>
  <c r="U59" i="8"/>
  <c r="V59" i="8"/>
  <c r="P60" i="8"/>
  <c r="Q60" i="8"/>
  <c r="R60" i="8"/>
  <c r="S60" i="8"/>
  <c r="T60" i="8"/>
  <c r="U60" i="8"/>
  <c r="V60" i="8"/>
  <c r="P61" i="8"/>
  <c r="Q61" i="8"/>
  <c r="R61" i="8"/>
  <c r="S61" i="8"/>
  <c r="T61" i="8"/>
  <c r="U61" i="8"/>
  <c r="V61" i="8"/>
  <c r="P62" i="8"/>
  <c r="Q62" i="8"/>
  <c r="R62" i="8"/>
  <c r="S62" i="8"/>
  <c r="T62" i="8"/>
  <c r="U62" i="8"/>
  <c r="V62" i="8"/>
  <c r="P63" i="8"/>
  <c r="Q63" i="8"/>
  <c r="R63" i="8"/>
  <c r="S63" i="8"/>
  <c r="T63" i="8"/>
  <c r="U63" i="8"/>
  <c r="V63" i="8"/>
  <c r="P64" i="8"/>
  <c r="Q64" i="8"/>
  <c r="R64" i="8"/>
  <c r="S64" i="8"/>
  <c r="T64" i="8"/>
  <c r="U64" i="8"/>
  <c r="V64" i="8"/>
  <c r="P65" i="8"/>
  <c r="Q65" i="8"/>
  <c r="R65" i="8"/>
  <c r="S65" i="8"/>
  <c r="T65" i="8"/>
  <c r="U65" i="8"/>
  <c r="V65" i="8"/>
  <c r="P66" i="8"/>
  <c r="Q66" i="8"/>
  <c r="R66" i="8"/>
  <c r="S66" i="8"/>
  <c r="T66" i="8"/>
  <c r="U66" i="8"/>
  <c r="V66" i="8"/>
  <c r="P67" i="8"/>
  <c r="Q67" i="8"/>
  <c r="R67" i="8"/>
  <c r="S67" i="8"/>
  <c r="T67" i="8"/>
  <c r="U67" i="8"/>
  <c r="V67" i="8"/>
  <c r="P68" i="8"/>
  <c r="Q68" i="8"/>
  <c r="R68" i="8"/>
  <c r="S68" i="8"/>
  <c r="T68" i="8"/>
  <c r="U68" i="8"/>
  <c r="V68" i="8"/>
  <c r="P69" i="8"/>
  <c r="Q69" i="8"/>
  <c r="R69" i="8"/>
  <c r="S69" i="8"/>
  <c r="T69" i="8"/>
  <c r="U69" i="8"/>
  <c r="V69" i="8"/>
  <c r="P70" i="8"/>
  <c r="Q70" i="8"/>
  <c r="R70" i="8"/>
  <c r="S70" i="8"/>
  <c r="T70" i="8"/>
  <c r="U70" i="8"/>
  <c r="V70" i="8"/>
  <c r="P71" i="8"/>
  <c r="Q71" i="8"/>
  <c r="R71" i="8"/>
  <c r="S71" i="8"/>
  <c r="T71" i="8"/>
  <c r="U71" i="8"/>
  <c r="V71" i="8"/>
  <c r="P72" i="8"/>
  <c r="Q72" i="8"/>
  <c r="R72" i="8"/>
  <c r="S72" i="8"/>
  <c r="T72" i="8"/>
  <c r="U72" i="8"/>
  <c r="V72" i="8"/>
  <c r="P73" i="8"/>
  <c r="Q73" i="8"/>
  <c r="R73" i="8"/>
  <c r="S73" i="8"/>
  <c r="T73" i="8"/>
  <c r="U73" i="8"/>
  <c r="V73" i="8"/>
  <c r="P74" i="8"/>
  <c r="Q74" i="8"/>
  <c r="R74" i="8"/>
  <c r="S74" i="8"/>
  <c r="T74" i="8"/>
  <c r="U74" i="8"/>
  <c r="V74" i="8"/>
  <c r="P75" i="8"/>
  <c r="Q75" i="8"/>
  <c r="R75" i="8"/>
  <c r="S75" i="8"/>
  <c r="T75" i="8"/>
  <c r="U75" i="8"/>
  <c r="V75" i="8"/>
  <c r="P76" i="8"/>
  <c r="Q76" i="8"/>
  <c r="R76" i="8"/>
  <c r="S76" i="8"/>
  <c r="T76" i="8"/>
  <c r="U76" i="8"/>
  <c r="V76" i="8"/>
  <c r="P77" i="8"/>
  <c r="Q77" i="8"/>
  <c r="R77" i="8"/>
  <c r="S77" i="8"/>
  <c r="T77" i="8"/>
  <c r="U77" i="8"/>
  <c r="V77" i="8"/>
  <c r="P78" i="8"/>
  <c r="Q78" i="8"/>
  <c r="R78" i="8"/>
  <c r="S78" i="8"/>
  <c r="T78" i="8"/>
  <c r="U78" i="8"/>
  <c r="V78" i="8"/>
  <c r="Q6" i="8"/>
  <c r="R6" i="8"/>
  <c r="S6" i="8"/>
  <c r="T6" i="8"/>
  <c r="U6" i="8"/>
  <c r="V6" i="8"/>
  <c r="P6" i="8"/>
  <c r="Q5" i="8"/>
  <c r="R5" i="8"/>
  <c r="S5" i="8"/>
  <c r="T5" i="8"/>
  <c r="U5" i="8"/>
  <c r="V5" i="8"/>
  <c r="P5" i="8"/>
  <c r="I7" i="8"/>
  <c r="J7" i="8"/>
  <c r="K7" i="8"/>
  <c r="L7" i="8"/>
  <c r="M7" i="8"/>
  <c r="N7" i="8"/>
  <c r="O7" i="8"/>
  <c r="I8" i="8"/>
  <c r="J8" i="8"/>
  <c r="K8" i="8"/>
  <c r="L8" i="8"/>
  <c r="M8" i="8"/>
  <c r="N8" i="8"/>
  <c r="O8" i="8"/>
  <c r="I9" i="8"/>
  <c r="J9" i="8"/>
  <c r="K9" i="8"/>
  <c r="L9" i="8"/>
  <c r="M9" i="8"/>
  <c r="N9" i="8"/>
  <c r="O9" i="8"/>
  <c r="I10" i="8"/>
  <c r="J10" i="8"/>
  <c r="K10" i="8"/>
  <c r="L10" i="8"/>
  <c r="M10" i="8"/>
  <c r="N10" i="8"/>
  <c r="O10" i="8"/>
  <c r="I11" i="8"/>
  <c r="J11" i="8"/>
  <c r="K11" i="8"/>
  <c r="L11" i="8"/>
  <c r="M11" i="8"/>
  <c r="N11" i="8"/>
  <c r="O11" i="8"/>
  <c r="I12" i="8"/>
  <c r="J12" i="8"/>
  <c r="K12" i="8"/>
  <c r="L12" i="8"/>
  <c r="M12" i="8"/>
  <c r="N12" i="8"/>
  <c r="O12" i="8"/>
  <c r="I13" i="8"/>
  <c r="J13" i="8"/>
  <c r="K13" i="8"/>
  <c r="L13" i="8"/>
  <c r="M13" i="8"/>
  <c r="N13" i="8"/>
  <c r="O13" i="8"/>
  <c r="I14" i="8"/>
  <c r="J14" i="8"/>
  <c r="K14" i="8"/>
  <c r="L14" i="8"/>
  <c r="M14" i="8"/>
  <c r="N14" i="8"/>
  <c r="O14" i="8"/>
  <c r="I15" i="8"/>
  <c r="J15" i="8"/>
  <c r="K15" i="8"/>
  <c r="L15" i="8"/>
  <c r="M15" i="8"/>
  <c r="N15" i="8"/>
  <c r="O15" i="8"/>
  <c r="I16" i="8"/>
  <c r="J16" i="8"/>
  <c r="K16" i="8"/>
  <c r="L16" i="8"/>
  <c r="M16" i="8"/>
  <c r="N16" i="8"/>
  <c r="O16" i="8"/>
  <c r="I17" i="8"/>
  <c r="J17" i="8"/>
  <c r="K17" i="8"/>
  <c r="L17" i="8"/>
  <c r="M17" i="8"/>
  <c r="N17" i="8"/>
  <c r="O17" i="8"/>
  <c r="I18" i="8"/>
  <c r="J18" i="8"/>
  <c r="K18" i="8"/>
  <c r="L18" i="8"/>
  <c r="M18" i="8"/>
  <c r="N18" i="8"/>
  <c r="O18" i="8"/>
  <c r="I19" i="8"/>
  <c r="J19" i="8"/>
  <c r="K19" i="8"/>
  <c r="L19" i="8"/>
  <c r="M19" i="8"/>
  <c r="N19" i="8"/>
  <c r="O19" i="8"/>
  <c r="I20" i="8"/>
  <c r="J20" i="8"/>
  <c r="K20" i="8"/>
  <c r="L20" i="8"/>
  <c r="M20" i="8"/>
  <c r="N20" i="8"/>
  <c r="O20" i="8"/>
  <c r="I21" i="8"/>
  <c r="J21" i="8"/>
  <c r="K21" i="8"/>
  <c r="L21" i="8"/>
  <c r="M21" i="8"/>
  <c r="N21" i="8"/>
  <c r="O21" i="8"/>
  <c r="I22" i="8"/>
  <c r="J22" i="8"/>
  <c r="K22" i="8"/>
  <c r="L22" i="8"/>
  <c r="M22" i="8"/>
  <c r="N22" i="8"/>
  <c r="O22" i="8"/>
  <c r="I23" i="8"/>
  <c r="J23" i="8"/>
  <c r="K23" i="8"/>
  <c r="L23" i="8"/>
  <c r="M23" i="8"/>
  <c r="N23" i="8"/>
  <c r="O23" i="8"/>
  <c r="I24" i="8"/>
  <c r="J24" i="8"/>
  <c r="K24" i="8"/>
  <c r="L24" i="8"/>
  <c r="M24" i="8"/>
  <c r="N24" i="8"/>
  <c r="O24" i="8"/>
  <c r="I25" i="8"/>
  <c r="J25" i="8"/>
  <c r="K25" i="8"/>
  <c r="L25" i="8"/>
  <c r="M25" i="8"/>
  <c r="N25" i="8"/>
  <c r="O25" i="8"/>
  <c r="I26" i="8"/>
  <c r="J26" i="8"/>
  <c r="K26" i="8"/>
  <c r="L26" i="8"/>
  <c r="M26" i="8"/>
  <c r="N26" i="8"/>
  <c r="O26" i="8"/>
  <c r="I27" i="8"/>
  <c r="J27" i="8"/>
  <c r="K27" i="8"/>
  <c r="L27" i="8"/>
  <c r="M27" i="8"/>
  <c r="N27" i="8"/>
  <c r="O27" i="8"/>
  <c r="I28" i="8"/>
  <c r="J28" i="8"/>
  <c r="K28" i="8"/>
  <c r="L28" i="8"/>
  <c r="M28" i="8"/>
  <c r="N28" i="8"/>
  <c r="O28" i="8"/>
  <c r="I29" i="8"/>
  <c r="J29" i="8"/>
  <c r="K29" i="8"/>
  <c r="L29" i="8"/>
  <c r="M29" i="8"/>
  <c r="N29" i="8"/>
  <c r="O29" i="8"/>
  <c r="I30" i="8"/>
  <c r="J30" i="8"/>
  <c r="K30" i="8"/>
  <c r="L30" i="8"/>
  <c r="M30" i="8"/>
  <c r="N30" i="8"/>
  <c r="O30" i="8"/>
  <c r="I31" i="8"/>
  <c r="J31" i="8"/>
  <c r="K31" i="8"/>
  <c r="L31" i="8"/>
  <c r="M31" i="8"/>
  <c r="N31" i="8"/>
  <c r="O31" i="8"/>
  <c r="I32" i="8"/>
  <c r="J32" i="8"/>
  <c r="K32" i="8"/>
  <c r="L32" i="8"/>
  <c r="M32" i="8"/>
  <c r="N32" i="8"/>
  <c r="O32" i="8"/>
  <c r="I33" i="8"/>
  <c r="J33" i="8"/>
  <c r="K33" i="8"/>
  <c r="L33" i="8"/>
  <c r="M33" i="8"/>
  <c r="N33" i="8"/>
  <c r="O33" i="8"/>
  <c r="I34" i="8"/>
  <c r="J34" i="8"/>
  <c r="K34" i="8"/>
  <c r="L34" i="8"/>
  <c r="M34" i="8"/>
  <c r="N34" i="8"/>
  <c r="O34" i="8"/>
  <c r="I35" i="8"/>
  <c r="J35" i="8"/>
  <c r="K35" i="8"/>
  <c r="L35" i="8"/>
  <c r="M35" i="8"/>
  <c r="N35" i="8"/>
  <c r="O35" i="8"/>
  <c r="I36" i="8"/>
  <c r="J36" i="8"/>
  <c r="K36" i="8"/>
  <c r="L36" i="8"/>
  <c r="M36" i="8"/>
  <c r="N36" i="8"/>
  <c r="O36" i="8"/>
  <c r="I37" i="8"/>
  <c r="J37" i="8"/>
  <c r="K37" i="8"/>
  <c r="L37" i="8"/>
  <c r="M37" i="8"/>
  <c r="N37" i="8"/>
  <c r="O37" i="8"/>
  <c r="I38" i="8"/>
  <c r="J38" i="8"/>
  <c r="K38" i="8"/>
  <c r="L38" i="8"/>
  <c r="M38" i="8"/>
  <c r="N38" i="8"/>
  <c r="O38" i="8"/>
  <c r="I39" i="8"/>
  <c r="J39" i="8"/>
  <c r="K39" i="8"/>
  <c r="L39" i="8"/>
  <c r="M39" i="8"/>
  <c r="N39" i="8"/>
  <c r="O39" i="8"/>
  <c r="I40" i="8"/>
  <c r="J40" i="8"/>
  <c r="K40" i="8"/>
  <c r="L40" i="8"/>
  <c r="M40" i="8"/>
  <c r="N40" i="8"/>
  <c r="O40" i="8"/>
  <c r="I41" i="8"/>
  <c r="J41" i="8"/>
  <c r="K41" i="8"/>
  <c r="L41" i="8"/>
  <c r="M41" i="8"/>
  <c r="N41" i="8"/>
  <c r="O41" i="8"/>
  <c r="I42" i="8"/>
  <c r="J42" i="8"/>
  <c r="K42" i="8"/>
  <c r="L42" i="8"/>
  <c r="M42" i="8"/>
  <c r="N42" i="8"/>
  <c r="O42" i="8"/>
  <c r="I43" i="8"/>
  <c r="J43" i="8"/>
  <c r="K43" i="8"/>
  <c r="L43" i="8"/>
  <c r="M43" i="8"/>
  <c r="N43" i="8"/>
  <c r="O43" i="8"/>
  <c r="I44" i="8"/>
  <c r="J44" i="8"/>
  <c r="K44" i="8"/>
  <c r="L44" i="8"/>
  <c r="M44" i="8"/>
  <c r="N44" i="8"/>
  <c r="O44" i="8"/>
  <c r="I45" i="8"/>
  <c r="J45" i="8"/>
  <c r="K45" i="8"/>
  <c r="L45" i="8"/>
  <c r="M45" i="8"/>
  <c r="N45" i="8"/>
  <c r="O45" i="8"/>
  <c r="I46" i="8"/>
  <c r="J46" i="8"/>
  <c r="K46" i="8"/>
  <c r="L46" i="8"/>
  <c r="M46" i="8"/>
  <c r="N46" i="8"/>
  <c r="O46" i="8"/>
  <c r="I47" i="8"/>
  <c r="J47" i="8"/>
  <c r="K47" i="8"/>
  <c r="L47" i="8"/>
  <c r="M47" i="8"/>
  <c r="N47" i="8"/>
  <c r="O47" i="8"/>
  <c r="I48" i="8"/>
  <c r="J48" i="8"/>
  <c r="K48" i="8"/>
  <c r="L48" i="8"/>
  <c r="M48" i="8"/>
  <c r="N48" i="8"/>
  <c r="O48" i="8"/>
  <c r="I49" i="8"/>
  <c r="J49" i="8"/>
  <c r="K49" i="8"/>
  <c r="L49" i="8"/>
  <c r="M49" i="8"/>
  <c r="N49" i="8"/>
  <c r="O49" i="8"/>
  <c r="I50" i="8"/>
  <c r="J50" i="8"/>
  <c r="K50" i="8"/>
  <c r="L50" i="8"/>
  <c r="M50" i="8"/>
  <c r="N50" i="8"/>
  <c r="O50" i="8"/>
  <c r="I51" i="8"/>
  <c r="J51" i="8"/>
  <c r="K51" i="8"/>
  <c r="L51" i="8"/>
  <c r="M51" i="8"/>
  <c r="N51" i="8"/>
  <c r="O51" i="8"/>
  <c r="I52" i="8"/>
  <c r="J52" i="8"/>
  <c r="K52" i="8"/>
  <c r="L52" i="8"/>
  <c r="M52" i="8"/>
  <c r="N52" i="8"/>
  <c r="O52" i="8"/>
  <c r="I53" i="8"/>
  <c r="J53" i="8"/>
  <c r="K53" i="8"/>
  <c r="L53" i="8"/>
  <c r="M53" i="8"/>
  <c r="N53" i="8"/>
  <c r="O53" i="8"/>
  <c r="I54" i="8"/>
  <c r="J54" i="8"/>
  <c r="K54" i="8"/>
  <c r="L54" i="8"/>
  <c r="M54" i="8"/>
  <c r="N54" i="8"/>
  <c r="O54" i="8"/>
  <c r="I55" i="8"/>
  <c r="J55" i="8"/>
  <c r="K55" i="8"/>
  <c r="L55" i="8"/>
  <c r="M55" i="8"/>
  <c r="N55" i="8"/>
  <c r="O55" i="8"/>
  <c r="I56" i="8"/>
  <c r="J56" i="8"/>
  <c r="K56" i="8"/>
  <c r="L56" i="8"/>
  <c r="M56" i="8"/>
  <c r="N56" i="8"/>
  <c r="O56" i="8"/>
  <c r="I57" i="8"/>
  <c r="J57" i="8"/>
  <c r="K57" i="8"/>
  <c r="L57" i="8"/>
  <c r="M57" i="8"/>
  <c r="N57" i="8"/>
  <c r="O57" i="8"/>
  <c r="I58" i="8"/>
  <c r="J58" i="8"/>
  <c r="K58" i="8"/>
  <c r="L58" i="8"/>
  <c r="M58" i="8"/>
  <c r="N58" i="8"/>
  <c r="O58" i="8"/>
  <c r="I59" i="8"/>
  <c r="J59" i="8"/>
  <c r="K59" i="8"/>
  <c r="L59" i="8"/>
  <c r="M59" i="8"/>
  <c r="N59" i="8"/>
  <c r="O59" i="8"/>
  <c r="I60" i="8"/>
  <c r="J60" i="8"/>
  <c r="K60" i="8"/>
  <c r="L60" i="8"/>
  <c r="M60" i="8"/>
  <c r="N60" i="8"/>
  <c r="O60" i="8"/>
  <c r="I61" i="8"/>
  <c r="J61" i="8"/>
  <c r="K61" i="8"/>
  <c r="L61" i="8"/>
  <c r="M61" i="8"/>
  <c r="N61" i="8"/>
  <c r="O61" i="8"/>
  <c r="I62" i="8"/>
  <c r="J62" i="8"/>
  <c r="K62" i="8"/>
  <c r="L62" i="8"/>
  <c r="M62" i="8"/>
  <c r="N62" i="8"/>
  <c r="O62" i="8"/>
  <c r="I63" i="8"/>
  <c r="J63" i="8"/>
  <c r="K63" i="8"/>
  <c r="L63" i="8"/>
  <c r="M63" i="8"/>
  <c r="N63" i="8"/>
  <c r="O63" i="8"/>
  <c r="I64" i="8"/>
  <c r="J64" i="8"/>
  <c r="K64" i="8"/>
  <c r="L64" i="8"/>
  <c r="M64" i="8"/>
  <c r="N64" i="8"/>
  <c r="O64" i="8"/>
  <c r="I65" i="8"/>
  <c r="J65" i="8"/>
  <c r="K65" i="8"/>
  <c r="L65" i="8"/>
  <c r="M65" i="8"/>
  <c r="N65" i="8"/>
  <c r="O65" i="8"/>
  <c r="I66" i="8"/>
  <c r="J66" i="8"/>
  <c r="K66" i="8"/>
  <c r="L66" i="8"/>
  <c r="M66" i="8"/>
  <c r="N66" i="8"/>
  <c r="O66" i="8"/>
  <c r="I67" i="8"/>
  <c r="J67" i="8"/>
  <c r="K67" i="8"/>
  <c r="L67" i="8"/>
  <c r="M67" i="8"/>
  <c r="N67" i="8"/>
  <c r="O67" i="8"/>
  <c r="I68" i="8"/>
  <c r="J68" i="8"/>
  <c r="K68" i="8"/>
  <c r="L68" i="8"/>
  <c r="M68" i="8"/>
  <c r="N68" i="8"/>
  <c r="O68" i="8"/>
  <c r="I69" i="8"/>
  <c r="J69" i="8"/>
  <c r="K69" i="8"/>
  <c r="L69" i="8"/>
  <c r="M69" i="8"/>
  <c r="N69" i="8"/>
  <c r="O69" i="8"/>
  <c r="I70" i="8"/>
  <c r="J70" i="8"/>
  <c r="K70" i="8"/>
  <c r="L70" i="8"/>
  <c r="M70" i="8"/>
  <c r="N70" i="8"/>
  <c r="O70" i="8"/>
  <c r="I71" i="8"/>
  <c r="J71" i="8"/>
  <c r="K71" i="8"/>
  <c r="L71" i="8"/>
  <c r="M71" i="8"/>
  <c r="N71" i="8"/>
  <c r="O71" i="8"/>
  <c r="I72" i="8"/>
  <c r="J72" i="8"/>
  <c r="K72" i="8"/>
  <c r="L72" i="8"/>
  <c r="M72" i="8"/>
  <c r="N72" i="8"/>
  <c r="O72" i="8"/>
  <c r="I73" i="8"/>
  <c r="J73" i="8"/>
  <c r="K73" i="8"/>
  <c r="L73" i="8"/>
  <c r="M73" i="8"/>
  <c r="N73" i="8"/>
  <c r="O73" i="8"/>
  <c r="I74" i="8"/>
  <c r="J74" i="8"/>
  <c r="K74" i="8"/>
  <c r="L74" i="8"/>
  <c r="M74" i="8"/>
  <c r="N74" i="8"/>
  <c r="O74" i="8"/>
  <c r="I75" i="8"/>
  <c r="J75" i="8"/>
  <c r="K75" i="8"/>
  <c r="L75" i="8"/>
  <c r="M75" i="8"/>
  <c r="N75" i="8"/>
  <c r="O75" i="8"/>
  <c r="I76" i="8"/>
  <c r="J76" i="8"/>
  <c r="K76" i="8"/>
  <c r="L76" i="8"/>
  <c r="M76" i="8"/>
  <c r="N76" i="8"/>
  <c r="O76" i="8"/>
  <c r="I77" i="8"/>
  <c r="J77" i="8"/>
  <c r="K77" i="8"/>
  <c r="L77" i="8"/>
  <c r="M77" i="8"/>
  <c r="N77" i="8"/>
  <c r="O77" i="8"/>
  <c r="I78" i="8"/>
  <c r="J78" i="8"/>
  <c r="K78" i="8"/>
  <c r="L78" i="8"/>
  <c r="M78" i="8"/>
  <c r="N78" i="8"/>
  <c r="O78" i="8"/>
  <c r="J6" i="8"/>
  <c r="K6" i="8"/>
  <c r="L6" i="8"/>
  <c r="M6" i="8"/>
  <c r="N6" i="8"/>
  <c r="O6" i="8"/>
  <c r="I6" i="8"/>
  <c r="J5" i="8"/>
  <c r="K5" i="8"/>
  <c r="L5" i="8"/>
  <c r="M5" i="8"/>
  <c r="N5" i="8"/>
  <c r="O5" i="8"/>
  <c r="I5" i="8"/>
  <c r="B7" i="8"/>
  <c r="C7" i="8"/>
  <c r="D7" i="8"/>
  <c r="E7" i="8"/>
  <c r="F7" i="8"/>
  <c r="G7" i="8"/>
  <c r="H7" i="8"/>
  <c r="B8" i="8"/>
  <c r="C8" i="8"/>
  <c r="D8" i="8"/>
  <c r="E8" i="8"/>
  <c r="F8" i="8"/>
  <c r="G8" i="8"/>
  <c r="H8" i="8"/>
  <c r="B9" i="8"/>
  <c r="C9" i="8"/>
  <c r="D9" i="8"/>
  <c r="E9" i="8"/>
  <c r="F9" i="8"/>
  <c r="G9" i="8"/>
  <c r="H9" i="8"/>
  <c r="B10" i="8"/>
  <c r="C10" i="8"/>
  <c r="D10" i="8"/>
  <c r="E10" i="8"/>
  <c r="F10" i="8"/>
  <c r="G10" i="8"/>
  <c r="H10" i="8"/>
  <c r="B11" i="8"/>
  <c r="C11" i="8"/>
  <c r="D11" i="8"/>
  <c r="E11" i="8"/>
  <c r="F11" i="8"/>
  <c r="G11" i="8"/>
  <c r="H11" i="8"/>
  <c r="B12" i="8"/>
  <c r="C12" i="8"/>
  <c r="D12" i="8"/>
  <c r="E12" i="8"/>
  <c r="F12" i="8"/>
  <c r="G12" i="8"/>
  <c r="H12" i="8"/>
  <c r="B13" i="8"/>
  <c r="C13" i="8"/>
  <c r="D13" i="8"/>
  <c r="E13" i="8"/>
  <c r="F13" i="8"/>
  <c r="G13" i="8"/>
  <c r="H13" i="8"/>
  <c r="B14" i="8"/>
  <c r="C14" i="8"/>
  <c r="D14" i="8"/>
  <c r="E14" i="8"/>
  <c r="F14" i="8"/>
  <c r="G14" i="8"/>
  <c r="H14" i="8"/>
  <c r="B15" i="8"/>
  <c r="C15" i="8"/>
  <c r="D15" i="8"/>
  <c r="E15" i="8"/>
  <c r="F15" i="8"/>
  <c r="G15" i="8"/>
  <c r="H15" i="8"/>
  <c r="B16" i="8"/>
  <c r="C16" i="8"/>
  <c r="D16" i="8"/>
  <c r="E16" i="8"/>
  <c r="F16" i="8"/>
  <c r="G16" i="8"/>
  <c r="H16" i="8"/>
  <c r="B17" i="8"/>
  <c r="C17" i="8"/>
  <c r="D17" i="8"/>
  <c r="E17" i="8"/>
  <c r="F17" i="8"/>
  <c r="G17" i="8"/>
  <c r="H17" i="8"/>
  <c r="B18" i="8"/>
  <c r="C18" i="8"/>
  <c r="D18" i="8"/>
  <c r="E18" i="8"/>
  <c r="F18" i="8"/>
  <c r="G18" i="8"/>
  <c r="H18" i="8"/>
  <c r="B19" i="8"/>
  <c r="C19" i="8"/>
  <c r="D19" i="8"/>
  <c r="E19" i="8"/>
  <c r="F19" i="8"/>
  <c r="G19" i="8"/>
  <c r="H19" i="8"/>
  <c r="B20" i="8"/>
  <c r="C20" i="8"/>
  <c r="D20" i="8"/>
  <c r="E20" i="8"/>
  <c r="F20" i="8"/>
  <c r="G20" i="8"/>
  <c r="H20" i="8"/>
  <c r="B21" i="8"/>
  <c r="C21" i="8"/>
  <c r="D21" i="8"/>
  <c r="E21" i="8"/>
  <c r="F21" i="8"/>
  <c r="G21" i="8"/>
  <c r="H21" i="8"/>
  <c r="B22" i="8"/>
  <c r="C22" i="8"/>
  <c r="D22" i="8"/>
  <c r="E22" i="8"/>
  <c r="F22" i="8"/>
  <c r="G22" i="8"/>
  <c r="H22" i="8"/>
  <c r="B23" i="8"/>
  <c r="C23" i="8"/>
  <c r="D23" i="8"/>
  <c r="E23" i="8"/>
  <c r="F23" i="8"/>
  <c r="G23" i="8"/>
  <c r="H23" i="8"/>
  <c r="B24" i="8"/>
  <c r="C24" i="8"/>
  <c r="D24" i="8"/>
  <c r="E24" i="8"/>
  <c r="F24" i="8"/>
  <c r="G24" i="8"/>
  <c r="H24" i="8"/>
  <c r="B25" i="8"/>
  <c r="C25" i="8"/>
  <c r="D25" i="8"/>
  <c r="E25" i="8"/>
  <c r="F25" i="8"/>
  <c r="G25" i="8"/>
  <c r="H25" i="8"/>
  <c r="B26" i="8"/>
  <c r="C26" i="8"/>
  <c r="D26" i="8"/>
  <c r="E26" i="8"/>
  <c r="F26" i="8"/>
  <c r="G26" i="8"/>
  <c r="H26" i="8"/>
  <c r="B27" i="8"/>
  <c r="C27" i="8"/>
  <c r="D27" i="8"/>
  <c r="E27" i="8"/>
  <c r="F27" i="8"/>
  <c r="G27" i="8"/>
  <c r="H27" i="8"/>
  <c r="B28" i="8"/>
  <c r="C28" i="8"/>
  <c r="D28" i="8"/>
  <c r="E28" i="8"/>
  <c r="F28" i="8"/>
  <c r="G28" i="8"/>
  <c r="H28" i="8"/>
  <c r="B29" i="8"/>
  <c r="C29" i="8"/>
  <c r="D29" i="8"/>
  <c r="E29" i="8"/>
  <c r="F29" i="8"/>
  <c r="G29" i="8"/>
  <c r="H29" i="8"/>
  <c r="B30" i="8"/>
  <c r="C30" i="8"/>
  <c r="D30" i="8"/>
  <c r="E30" i="8"/>
  <c r="F30" i="8"/>
  <c r="G30" i="8"/>
  <c r="H30" i="8"/>
  <c r="B31" i="8"/>
  <c r="C31" i="8"/>
  <c r="D31" i="8"/>
  <c r="E31" i="8"/>
  <c r="F31" i="8"/>
  <c r="G31" i="8"/>
  <c r="H31" i="8"/>
  <c r="B32" i="8"/>
  <c r="C32" i="8"/>
  <c r="D32" i="8"/>
  <c r="E32" i="8"/>
  <c r="F32" i="8"/>
  <c r="G32" i="8"/>
  <c r="H32" i="8"/>
  <c r="B33" i="8"/>
  <c r="C33" i="8"/>
  <c r="D33" i="8"/>
  <c r="E33" i="8"/>
  <c r="F33" i="8"/>
  <c r="G33" i="8"/>
  <c r="H33" i="8"/>
  <c r="B34" i="8"/>
  <c r="C34" i="8"/>
  <c r="D34" i="8"/>
  <c r="E34" i="8"/>
  <c r="F34" i="8"/>
  <c r="G34" i="8"/>
  <c r="H34" i="8"/>
  <c r="B35" i="8"/>
  <c r="C35" i="8"/>
  <c r="D35" i="8"/>
  <c r="E35" i="8"/>
  <c r="F35" i="8"/>
  <c r="G35" i="8"/>
  <c r="H35" i="8"/>
  <c r="B36" i="8"/>
  <c r="C36" i="8"/>
  <c r="D36" i="8"/>
  <c r="E36" i="8"/>
  <c r="F36" i="8"/>
  <c r="G36" i="8"/>
  <c r="H36" i="8"/>
  <c r="B37" i="8"/>
  <c r="C37" i="8"/>
  <c r="D37" i="8"/>
  <c r="E37" i="8"/>
  <c r="F37" i="8"/>
  <c r="G37" i="8"/>
  <c r="H37" i="8"/>
  <c r="B38" i="8"/>
  <c r="C38" i="8"/>
  <c r="D38" i="8"/>
  <c r="E38" i="8"/>
  <c r="F38" i="8"/>
  <c r="G38" i="8"/>
  <c r="H38" i="8"/>
  <c r="B39" i="8"/>
  <c r="C39" i="8"/>
  <c r="D39" i="8"/>
  <c r="E39" i="8"/>
  <c r="F39" i="8"/>
  <c r="G39" i="8"/>
  <c r="H39" i="8"/>
  <c r="B40" i="8"/>
  <c r="C40" i="8"/>
  <c r="D40" i="8"/>
  <c r="E40" i="8"/>
  <c r="F40" i="8"/>
  <c r="G40" i="8"/>
  <c r="H40" i="8"/>
  <c r="B41" i="8"/>
  <c r="C41" i="8"/>
  <c r="D41" i="8"/>
  <c r="E41" i="8"/>
  <c r="F41" i="8"/>
  <c r="G41" i="8"/>
  <c r="H41" i="8"/>
  <c r="B42" i="8"/>
  <c r="C42" i="8"/>
  <c r="D42" i="8"/>
  <c r="E42" i="8"/>
  <c r="F42" i="8"/>
  <c r="G42" i="8"/>
  <c r="H42" i="8"/>
  <c r="B43" i="8"/>
  <c r="C43" i="8"/>
  <c r="D43" i="8"/>
  <c r="E43" i="8"/>
  <c r="F43" i="8"/>
  <c r="G43" i="8"/>
  <c r="H43" i="8"/>
  <c r="B44" i="8"/>
  <c r="C44" i="8"/>
  <c r="D44" i="8"/>
  <c r="E44" i="8"/>
  <c r="F44" i="8"/>
  <c r="G44" i="8"/>
  <c r="H44" i="8"/>
  <c r="B45" i="8"/>
  <c r="C45" i="8"/>
  <c r="D45" i="8"/>
  <c r="E45" i="8"/>
  <c r="F45" i="8"/>
  <c r="G45" i="8"/>
  <c r="H45" i="8"/>
  <c r="B46" i="8"/>
  <c r="C46" i="8"/>
  <c r="D46" i="8"/>
  <c r="E46" i="8"/>
  <c r="F46" i="8"/>
  <c r="G46" i="8"/>
  <c r="H46" i="8"/>
  <c r="B47" i="8"/>
  <c r="C47" i="8"/>
  <c r="D47" i="8"/>
  <c r="E47" i="8"/>
  <c r="F47" i="8"/>
  <c r="G47" i="8"/>
  <c r="H47" i="8"/>
  <c r="B48" i="8"/>
  <c r="C48" i="8"/>
  <c r="D48" i="8"/>
  <c r="E48" i="8"/>
  <c r="F48" i="8"/>
  <c r="G48" i="8"/>
  <c r="H48" i="8"/>
  <c r="B49" i="8"/>
  <c r="C49" i="8"/>
  <c r="D49" i="8"/>
  <c r="E49" i="8"/>
  <c r="F49" i="8"/>
  <c r="G49" i="8"/>
  <c r="H49" i="8"/>
  <c r="B50" i="8"/>
  <c r="C50" i="8"/>
  <c r="D50" i="8"/>
  <c r="E50" i="8"/>
  <c r="F50" i="8"/>
  <c r="G50" i="8"/>
  <c r="H50" i="8"/>
  <c r="B51" i="8"/>
  <c r="C51" i="8"/>
  <c r="D51" i="8"/>
  <c r="E51" i="8"/>
  <c r="F51" i="8"/>
  <c r="G51" i="8"/>
  <c r="H51" i="8"/>
  <c r="B52" i="8"/>
  <c r="C52" i="8"/>
  <c r="D52" i="8"/>
  <c r="E52" i="8"/>
  <c r="F52" i="8"/>
  <c r="G52" i="8"/>
  <c r="H52" i="8"/>
  <c r="B53" i="8"/>
  <c r="C53" i="8"/>
  <c r="D53" i="8"/>
  <c r="E53" i="8"/>
  <c r="F53" i="8"/>
  <c r="G53" i="8"/>
  <c r="H53" i="8"/>
  <c r="B54" i="8"/>
  <c r="C54" i="8"/>
  <c r="D54" i="8"/>
  <c r="E54" i="8"/>
  <c r="F54" i="8"/>
  <c r="G54" i="8"/>
  <c r="H54" i="8"/>
  <c r="B55" i="8"/>
  <c r="C55" i="8"/>
  <c r="D55" i="8"/>
  <c r="E55" i="8"/>
  <c r="F55" i="8"/>
  <c r="G55" i="8"/>
  <c r="H55" i="8"/>
  <c r="B56" i="8"/>
  <c r="C56" i="8"/>
  <c r="D56" i="8"/>
  <c r="E56" i="8"/>
  <c r="F56" i="8"/>
  <c r="G56" i="8"/>
  <c r="H56" i="8"/>
  <c r="B57" i="8"/>
  <c r="C57" i="8"/>
  <c r="D57" i="8"/>
  <c r="E57" i="8"/>
  <c r="F57" i="8"/>
  <c r="G57" i="8"/>
  <c r="H57" i="8"/>
  <c r="B58" i="8"/>
  <c r="C58" i="8"/>
  <c r="D58" i="8"/>
  <c r="E58" i="8"/>
  <c r="F58" i="8"/>
  <c r="G58" i="8"/>
  <c r="H58" i="8"/>
  <c r="B59" i="8"/>
  <c r="C59" i="8"/>
  <c r="D59" i="8"/>
  <c r="E59" i="8"/>
  <c r="F59" i="8"/>
  <c r="G59" i="8"/>
  <c r="H59" i="8"/>
  <c r="B60" i="8"/>
  <c r="C60" i="8"/>
  <c r="D60" i="8"/>
  <c r="E60" i="8"/>
  <c r="F60" i="8"/>
  <c r="G60" i="8"/>
  <c r="H60" i="8"/>
  <c r="B61" i="8"/>
  <c r="C61" i="8"/>
  <c r="D61" i="8"/>
  <c r="E61" i="8"/>
  <c r="F61" i="8"/>
  <c r="G61" i="8"/>
  <c r="H61" i="8"/>
  <c r="B62" i="8"/>
  <c r="C62" i="8"/>
  <c r="D62" i="8"/>
  <c r="E62" i="8"/>
  <c r="F62" i="8"/>
  <c r="G62" i="8"/>
  <c r="H62" i="8"/>
  <c r="B63" i="8"/>
  <c r="C63" i="8"/>
  <c r="D63" i="8"/>
  <c r="E63" i="8"/>
  <c r="F63" i="8"/>
  <c r="G63" i="8"/>
  <c r="H63" i="8"/>
  <c r="B64" i="8"/>
  <c r="C64" i="8"/>
  <c r="D64" i="8"/>
  <c r="E64" i="8"/>
  <c r="F64" i="8"/>
  <c r="G64" i="8"/>
  <c r="H64" i="8"/>
  <c r="B65" i="8"/>
  <c r="C65" i="8"/>
  <c r="D65" i="8"/>
  <c r="E65" i="8"/>
  <c r="F65" i="8"/>
  <c r="G65" i="8"/>
  <c r="H65" i="8"/>
  <c r="B66" i="8"/>
  <c r="C66" i="8"/>
  <c r="D66" i="8"/>
  <c r="E66" i="8"/>
  <c r="F66" i="8"/>
  <c r="G66" i="8"/>
  <c r="H66" i="8"/>
  <c r="B67" i="8"/>
  <c r="C67" i="8"/>
  <c r="D67" i="8"/>
  <c r="E67" i="8"/>
  <c r="F67" i="8"/>
  <c r="G67" i="8"/>
  <c r="H67" i="8"/>
  <c r="B68" i="8"/>
  <c r="C68" i="8"/>
  <c r="D68" i="8"/>
  <c r="E68" i="8"/>
  <c r="F68" i="8"/>
  <c r="G68" i="8"/>
  <c r="H68" i="8"/>
  <c r="B69" i="8"/>
  <c r="C69" i="8"/>
  <c r="D69" i="8"/>
  <c r="E69" i="8"/>
  <c r="F69" i="8"/>
  <c r="G69" i="8"/>
  <c r="H69" i="8"/>
  <c r="B70" i="8"/>
  <c r="C70" i="8"/>
  <c r="D70" i="8"/>
  <c r="E70" i="8"/>
  <c r="F70" i="8"/>
  <c r="G70" i="8"/>
  <c r="H70" i="8"/>
  <c r="B71" i="8"/>
  <c r="C71" i="8"/>
  <c r="D71" i="8"/>
  <c r="E71" i="8"/>
  <c r="F71" i="8"/>
  <c r="G71" i="8"/>
  <c r="H71" i="8"/>
  <c r="B72" i="8"/>
  <c r="C72" i="8"/>
  <c r="D72" i="8"/>
  <c r="E72" i="8"/>
  <c r="F72" i="8"/>
  <c r="G72" i="8"/>
  <c r="H72" i="8"/>
  <c r="B73" i="8"/>
  <c r="C73" i="8"/>
  <c r="D73" i="8"/>
  <c r="E73" i="8"/>
  <c r="F73" i="8"/>
  <c r="G73" i="8"/>
  <c r="H73" i="8"/>
  <c r="B74" i="8"/>
  <c r="C74" i="8"/>
  <c r="D74" i="8"/>
  <c r="E74" i="8"/>
  <c r="F74" i="8"/>
  <c r="G74" i="8"/>
  <c r="H74" i="8"/>
  <c r="B75" i="8"/>
  <c r="C75" i="8"/>
  <c r="D75" i="8"/>
  <c r="E75" i="8"/>
  <c r="F75" i="8"/>
  <c r="G75" i="8"/>
  <c r="H75" i="8"/>
  <c r="B76" i="8"/>
  <c r="C76" i="8"/>
  <c r="D76" i="8"/>
  <c r="E76" i="8"/>
  <c r="F76" i="8"/>
  <c r="G76" i="8"/>
  <c r="H76" i="8"/>
  <c r="B77" i="8"/>
  <c r="C77" i="8"/>
  <c r="D77" i="8"/>
  <c r="E77" i="8"/>
  <c r="F77" i="8"/>
  <c r="G77" i="8"/>
  <c r="H77" i="8"/>
  <c r="B78" i="8"/>
  <c r="C78" i="8"/>
  <c r="D78" i="8"/>
  <c r="E78" i="8"/>
  <c r="F78" i="8"/>
  <c r="G78" i="8"/>
  <c r="H78" i="8"/>
  <c r="C6" i="8"/>
  <c r="D6" i="8"/>
  <c r="E6" i="8"/>
  <c r="F6" i="8"/>
  <c r="G6" i="8"/>
  <c r="H6" i="8"/>
  <c r="C5" i="8"/>
  <c r="D5" i="8"/>
  <c r="E5" i="8"/>
  <c r="F5" i="8"/>
  <c r="G5" i="8"/>
  <c r="H5" i="8"/>
  <c r="B5" i="8"/>
  <c r="B6" i="8"/>
  <c r="CB6" i="9" l="1"/>
  <c r="CB7" i="9"/>
  <c r="CB8" i="9"/>
  <c r="CB9" i="9"/>
  <c r="CB10" i="9"/>
  <c r="CB11" i="9"/>
  <c r="CB12" i="9"/>
  <c r="CB13" i="9"/>
  <c r="CB14" i="9"/>
  <c r="CB15" i="9"/>
  <c r="CB16" i="9"/>
  <c r="CB17" i="9"/>
  <c r="CB18" i="9"/>
  <c r="CB19" i="9"/>
  <c r="CB20" i="9"/>
  <c r="CB21" i="9"/>
  <c r="CB22" i="9"/>
  <c r="CB23" i="9"/>
  <c r="CB24" i="9"/>
  <c r="CB25" i="9"/>
  <c r="CB26" i="9"/>
  <c r="CB27" i="9"/>
  <c r="CB28" i="9"/>
  <c r="CB29" i="9"/>
  <c r="CB30" i="9"/>
  <c r="CB31" i="9"/>
  <c r="CB32" i="9"/>
  <c r="CB33" i="9"/>
  <c r="CB34" i="9"/>
  <c r="CB35" i="9"/>
  <c r="CB36" i="9"/>
  <c r="CB37" i="9"/>
  <c r="CB38" i="9"/>
  <c r="CB39" i="9"/>
  <c r="CB40" i="9"/>
  <c r="CB41" i="9"/>
  <c r="CB42" i="9"/>
  <c r="CB43" i="9"/>
  <c r="CB44" i="9"/>
  <c r="CB45" i="9"/>
  <c r="CB46" i="9"/>
  <c r="CB47" i="9"/>
  <c r="CB48" i="9"/>
  <c r="CB49" i="9"/>
  <c r="CB50" i="9"/>
  <c r="CB51" i="9"/>
  <c r="CB52" i="9"/>
  <c r="CB53" i="9"/>
  <c r="CB54" i="9"/>
  <c r="CB55" i="9"/>
  <c r="CB56" i="9"/>
  <c r="CB57" i="9"/>
  <c r="CB58" i="9"/>
  <c r="CB59" i="9"/>
  <c r="CB60" i="9"/>
  <c r="CB61" i="9"/>
  <c r="CB62" i="9"/>
  <c r="CB63" i="9"/>
  <c r="CB64" i="9"/>
  <c r="CB65" i="9"/>
  <c r="CB66" i="9"/>
  <c r="CB67" i="9"/>
  <c r="CB68" i="9"/>
  <c r="CB69" i="9"/>
  <c r="CB70" i="9"/>
  <c r="CB71" i="9"/>
  <c r="CB72" i="9"/>
  <c r="CB73" i="9"/>
  <c r="CB74" i="9"/>
  <c r="CB75" i="9"/>
  <c r="CB76" i="9"/>
  <c r="CB77" i="9"/>
  <c r="CB78" i="9"/>
  <c r="CC6" i="9"/>
  <c r="CC7" i="9"/>
  <c r="CC8" i="9"/>
  <c r="CC9" i="9"/>
  <c r="CC10" i="9"/>
  <c r="CC11" i="9"/>
  <c r="CC12" i="9"/>
  <c r="CC13" i="9"/>
  <c r="CC14" i="9"/>
  <c r="CC15" i="9"/>
  <c r="CC16" i="9"/>
  <c r="CC17" i="9"/>
  <c r="CC18" i="9"/>
  <c r="CC19" i="9"/>
  <c r="CC20" i="9"/>
  <c r="CC21" i="9"/>
  <c r="CC22" i="9"/>
  <c r="CC23" i="9"/>
  <c r="CC24" i="9"/>
  <c r="CC25" i="9"/>
  <c r="CC26" i="9"/>
  <c r="CC27" i="9"/>
  <c r="CC28" i="9"/>
  <c r="CC29" i="9"/>
  <c r="CC30" i="9"/>
  <c r="CC31" i="9"/>
  <c r="CC32" i="9"/>
  <c r="CC33" i="9"/>
  <c r="CC34" i="9"/>
  <c r="CC35" i="9"/>
  <c r="CC36" i="9"/>
  <c r="CC37" i="9"/>
  <c r="CC38" i="9"/>
  <c r="CC39" i="9"/>
  <c r="CC40" i="9"/>
  <c r="CC41" i="9"/>
  <c r="CC42" i="9"/>
  <c r="CC43" i="9"/>
  <c r="CC44" i="9"/>
  <c r="CC45" i="9"/>
  <c r="CC46" i="9"/>
  <c r="CC47" i="9"/>
  <c r="CC48" i="9"/>
  <c r="CC49" i="9"/>
  <c r="CC50" i="9"/>
  <c r="CC51" i="9"/>
  <c r="CC52" i="9"/>
  <c r="CC53" i="9"/>
  <c r="CC54" i="9"/>
  <c r="CC55" i="9"/>
  <c r="CC56" i="9"/>
  <c r="CC57" i="9"/>
  <c r="CC58" i="9"/>
  <c r="CC59" i="9"/>
  <c r="CC60" i="9"/>
  <c r="CC61" i="9"/>
  <c r="CC62" i="9"/>
  <c r="CC63" i="9"/>
  <c r="CC64" i="9"/>
  <c r="CC65" i="9"/>
  <c r="CC66" i="9"/>
  <c r="CC67" i="9"/>
  <c r="CC68" i="9"/>
  <c r="CC69" i="9"/>
  <c r="CC70" i="9"/>
  <c r="CC71" i="9"/>
  <c r="CC72" i="9"/>
  <c r="CC73" i="9"/>
  <c r="CC74" i="9"/>
  <c r="CC75" i="9"/>
  <c r="CC76" i="9"/>
  <c r="CC77" i="9"/>
  <c r="CC78" i="9"/>
  <c r="CD6" i="9"/>
  <c r="CD7" i="9"/>
  <c r="CD8" i="9"/>
  <c r="CD9" i="9"/>
  <c r="CD10" i="9"/>
  <c r="CD11" i="9"/>
  <c r="CD12" i="9"/>
  <c r="CD13" i="9"/>
  <c r="CD14" i="9"/>
  <c r="CD15" i="9"/>
  <c r="CD16" i="9"/>
  <c r="CD17" i="9"/>
  <c r="CD18" i="9"/>
  <c r="CD19" i="9"/>
  <c r="CD20" i="9"/>
  <c r="CD21" i="9"/>
  <c r="CD22" i="9"/>
  <c r="CD23" i="9"/>
  <c r="CD24" i="9"/>
  <c r="CD25" i="9"/>
  <c r="CD26" i="9"/>
  <c r="CD27" i="9"/>
  <c r="CD28" i="9"/>
  <c r="CD29" i="9"/>
  <c r="CD30" i="9"/>
  <c r="CD31" i="9"/>
  <c r="CD32" i="9"/>
  <c r="CD33" i="9"/>
  <c r="CD34" i="9"/>
  <c r="CD35" i="9"/>
  <c r="CD36" i="9"/>
  <c r="CD37" i="9"/>
  <c r="CD38" i="9"/>
  <c r="CD39" i="9"/>
  <c r="CD40" i="9"/>
  <c r="CD41" i="9"/>
  <c r="CD42" i="9"/>
  <c r="CD43" i="9"/>
  <c r="CD44" i="9"/>
  <c r="CD45" i="9"/>
  <c r="CD46" i="9"/>
  <c r="CD47" i="9"/>
  <c r="CD48" i="9"/>
  <c r="CD49" i="9"/>
  <c r="CD50" i="9"/>
  <c r="CD51" i="9"/>
  <c r="CD52" i="9"/>
  <c r="CD53" i="9"/>
  <c r="CD54" i="9"/>
  <c r="CD55" i="9"/>
  <c r="CD56" i="9"/>
  <c r="CD57" i="9"/>
  <c r="CD58" i="9"/>
  <c r="CD59" i="9"/>
  <c r="CD60" i="9"/>
  <c r="CD61" i="9"/>
  <c r="CD62" i="9"/>
  <c r="CD63" i="9"/>
  <c r="CD64" i="9"/>
  <c r="CD65" i="9"/>
  <c r="CD66" i="9"/>
  <c r="CD67" i="9"/>
  <c r="CD68" i="9"/>
  <c r="CD69" i="9"/>
  <c r="CD70" i="9"/>
  <c r="CD71" i="9"/>
  <c r="CD72" i="9"/>
  <c r="CD73" i="9"/>
  <c r="CD74" i="9"/>
  <c r="CD75" i="9"/>
  <c r="CD76" i="9"/>
  <c r="CD77" i="9"/>
  <c r="CD78" i="9"/>
  <c r="CE6" i="9"/>
  <c r="CE7" i="9"/>
  <c r="CE8" i="9"/>
  <c r="CE9" i="9"/>
  <c r="CE10" i="9"/>
  <c r="CE11" i="9"/>
  <c r="CE12" i="9"/>
  <c r="CE13" i="9"/>
  <c r="CE14" i="9"/>
  <c r="CE15" i="9"/>
  <c r="CE16" i="9"/>
  <c r="CE17" i="9"/>
  <c r="CE18" i="9"/>
  <c r="CE19" i="9"/>
  <c r="CE20" i="9"/>
  <c r="CE21" i="9"/>
  <c r="CE22" i="9"/>
  <c r="CE23" i="9"/>
  <c r="CE24" i="9"/>
  <c r="CE25" i="9"/>
  <c r="CE26" i="9"/>
  <c r="CE27" i="9"/>
  <c r="CE28" i="9"/>
  <c r="CE29" i="9"/>
  <c r="CE30" i="9"/>
  <c r="CE31" i="9"/>
  <c r="CE32" i="9"/>
  <c r="CE33" i="9"/>
  <c r="CE34" i="9"/>
  <c r="CE35" i="9"/>
  <c r="CE36" i="9"/>
  <c r="CE37" i="9"/>
  <c r="CE38" i="9"/>
  <c r="CE39" i="9"/>
  <c r="CE40" i="9"/>
  <c r="CE41" i="9"/>
  <c r="CE42" i="9"/>
  <c r="CE43" i="9"/>
  <c r="CE44" i="9"/>
  <c r="CE45" i="9"/>
  <c r="CE46" i="9"/>
  <c r="CE47" i="9"/>
  <c r="CE48" i="9"/>
  <c r="CE49" i="9"/>
  <c r="CE50" i="9"/>
  <c r="CE51" i="9"/>
  <c r="CE52" i="9"/>
  <c r="CE53" i="9"/>
  <c r="CE54" i="9"/>
  <c r="CE55" i="9"/>
  <c r="CE56" i="9"/>
  <c r="CE57" i="9"/>
  <c r="CE58" i="9"/>
  <c r="CE59" i="9"/>
  <c r="CE60" i="9"/>
  <c r="CE61" i="9"/>
  <c r="CE62" i="9"/>
  <c r="CE63" i="9"/>
  <c r="CE64" i="9"/>
  <c r="CE65" i="9"/>
  <c r="CE66" i="9"/>
  <c r="CE67" i="9"/>
  <c r="CE68" i="9"/>
  <c r="CE69" i="9"/>
  <c r="CE70" i="9"/>
  <c r="CE71" i="9"/>
  <c r="CE72" i="9"/>
  <c r="CE73" i="9"/>
  <c r="CE74" i="9"/>
  <c r="CE75" i="9"/>
  <c r="CE76" i="9"/>
  <c r="CE77" i="9"/>
  <c r="CE78" i="9"/>
  <c r="CF6" i="9"/>
  <c r="CF7" i="9"/>
  <c r="CF8" i="9"/>
  <c r="CF9" i="9"/>
  <c r="CF10" i="9"/>
  <c r="CF11" i="9"/>
  <c r="CF12" i="9"/>
  <c r="CF13" i="9"/>
  <c r="CF14" i="9"/>
  <c r="CF15" i="9"/>
  <c r="CF16" i="9"/>
  <c r="CF17" i="9"/>
  <c r="CF18" i="9"/>
  <c r="CF19" i="9"/>
  <c r="CF20" i="9"/>
  <c r="CF21" i="9"/>
  <c r="CF22" i="9"/>
  <c r="CF23" i="9"/>
  <c r="CF24" i="9"/>
  <c r="CF25" i="9"/>
  <c r="CF26" i="9"/>
  <c r="CF27" i="9"/>
  <c r="CF28" i="9"/>
  <c r="CF29" i="9"/>
  <c r="CF30" i="9"/>
  <c r="CF31" i="9"/>
  <c r="CF32" i="9"/>
  <c r="CF33" i="9"/>
  <c r="CF34" i="9"/>
  <c r="CF35" i="9"/>
  <c r="CF36" i="9"/>
  <c r="CF37" i="9"/>
  <c r="CF38" i="9"/>
  <c r="CF39" i="9"/>
  <c r="CF40" i="9"/>
  <c r="CF41" i="9"/>
  <c r="CF42" i="9"/>
  <c r="CF43" i="9"/>
  <c r="CF44" i="9"/>
  <c r="CF45" i="9"/>
  <c r="CF46" i="9"/>
  <c r="CF47" i="9"/>
  <c r="CF48" i="9"/>
  <c r="CF49" i="9"/>
  <c r="CF50" i="9"/>
  <c r="CF51" i="9"/>
  <c r="CF52" i="9"/>
  <c r="CF53" i="9"/>
  <c r="CF54" i="9"/>
  <c r="CF55" i="9"/>
  <c r="CF56" i="9"/>
  <c r="CF57" i="9"/>
  <c r="CF58" i="9"/>
  <c r="CF59" i="9"/>
  <c r="CF60" i="9"/>
  <c r="CF61" i="9"/>
  <c r="CF62" i="9"/>
  <c r="CF63" i="9"/>
  <c r="CF64" i="9"/>
  <c r="CF65" i="9"/>
  <c r="CF66" i="9"/>
  <c r="CF67" i="9"/>
  <c r="CF68" i="9"/>
  <c r="CF69" i="9"/>
  <c r="CF70" i="9"/>
  <c r="CF71" i="9"/>
  <c r="CF72" i="9"/>
  <c r="CF73" i="9"/>
  <c r="CF74" i="9"/>
  <c r="CF75" i="9"/>
  <c r="CF76" i="9"/>
  <c r="CF77" i="9"/>
  <c r="CF78" i="9"/>
  <c r="CG6" i="9"/>
  <c r="CG7" i="9"/>
  <c r="CG8" i="9"/>
  <c r="CG9" i="9"/>
  <c r="CG10" i="9"/>
  <c r="CG11" i="9"/>
  <c r="CG12" i="9"/>
  <c r="CG13" i="9"/>
  <c r="CG14" i="9"/>
  <c r="CG15" i="9"/>
  <c r="CG16" i="9"/>
  <c r="CG17" i="9"/>
  <c r="CG18" i="9"/>
  <c r="CG19" i="9"/>
  <c r="CG20" i="9"/>
  <c r="CG21" i="9"/>
  <c r="CG22" i="9"/>
  <c r="CG23" i="9"/>
  <c r="CG24" i="9"/>
  <c r="CG25" i="9"/>
  <c r="CG26" i="9"/>
  <c r="CG27" i="9"/>
  <c r="CG28" i="9"/>
  <c r="CG29" i="9"/>
  <c r="CG30" i="9"/>
  <c r="CG31" i="9"/>
  <c r="CG32" i="9"/>
  <c r="CG33" i="9"/>
  <c r="CG34" i="9"/>
  <c r="CG35" i="9"/>
  <c r="CG36" i="9"/>
  <c r="CG37" i="9"/>
  <c r="CG38" i="9"/>
  <c r="CG39" i="9"/>
  <c r="CG40" i="9"/>
  <c r="CG41" i="9"/>
  <c r="CG42" i="9"/>
  <c r="CG43" i="9"/>
  <c r="CG44" i="9"/>
  <c r="CG45" i="9"/>
  <c r="CG46" i="9"/>
  <c r="CG47" i="9"/>
  <c r="CG48" i="9"/>
  <c r="CG49" i="9"/>
  <c r="CG50" i="9"/>
  <c r="CG51" i="9"/>
  <c r="CG52" i="9"/>
  <c r="CG53" i="9"/>
  <c r="CG54" i="9"/>
  <c r="CG55" i="9"/>
  <c r="CG56" i="9"/>
  <c r="CG57" i="9"/>
  <c r="CG58" i="9"/>
  <c r="CG59" i="9"/>
  <c r="CG60" i="9"/>
  <c r="CG61" i="9"/>
  <c r="CG62" i="9"/>
  <c r="CG63" i="9"/>
  <c r="CG64" i="9"/>
  <c r="CG65" i="9"/>
  <c r="CG66" i="9"/>
  <c r="CG67" i="9"/>
  <c r="CG68" i="9"/>
  <c r="CG69" i="9"/>
  <c r="CG70" i="9"/>
  <c r="CG71" i="9"/>
  <c r="CG72" i="9"/>
  <c r="CG73" i="9"/>
  <c r="CG74" i="9"/>
  <c r="CG75" i="9"/>
  <c r="CG76" i="9"/>
  <c r="CG77" i="9"/>
  <c r="CG78" i="9"/>
  <c r="CH6" i="9"/>
  <c r="CH7" i="9"/>
  <c r="CH8" i="9"/>
  <c r="CH9" i="9"/>
  <c r="CH10" i="9"/>
  <c r="CH11" i="9"/>
  <c r="CH12" i="9"/>
  <c r="CH13" i="9"/>
  <c r="CH14" i="9"/>
  <c r="CH15" i="9"/>
  <c r="CH16" i="9"/>
  <c r="CH17" i="9"/>
  <c r="CH18" i="9"/>
  <c r="CH19" i="9"/>
  <c r="CH20" i="9"/>
  <c r="CH21" i="9"/>
  <c r="CH22" i="9"/>
  <c r="CH23" i="9"/>
  <c r="CH24" i="9"/>
  <c r="CH25" i="9"/>
  <c r="CH26" i="9"/>
  <c r="CH27" i="9"/>
  <c r="CH28" i="9"/>
  <c r="CH29" i="9"/>
  <c r="CH30" i="9"/>
  <c r="CH31" i="9"/>
  <c r="CH32" i="9"/>
  <c r="CH33" i="9"/>
  <c r="CH34" i="9"/>
  <c r="CH35" i="9"/>
  <c r="CH36" i="9"/>
  <c r="CH37" i="9"/>
  <c r="CH38" i="9"/>
  <c r="CH39" i="9"/>
  <c r="CH40" i="9"/>
  <c r="CH41" i="9"/>
  <c r="CH42" i="9"/>
  <c r="CH43" i="9"/>
  <c r="CH44" i="9"/>
  <c r="CH45" i="9"/>
  <c r="CH46" i="9"/>
  <c r="CH47" i="9"/>
  <c r="CH48" i="9"/>
  <c r="CH49" i="9"/>
  <c r="CH50" i="9"/>
  <c r="CH51" i="9"/>
  <c r="CH52" i="9"/>
  <c r="CH53" i="9"/>
  <c r="CH54" i="9"/>
  <c r="CH55" i="9"/>
  <c r="CH56" i="9"/>
  <c r="CH57" i="9"/>
  <c r="CH58" i="9"/>
  <c r="CH59" i="9"/>
  <c r="CH60" i="9"/>
  <c r="CH61" i="9"/>
  <c r="CH62" i="9"/>
  <c r="CH63" i="9"/>
  <c r="CH64" i="9"/>
  <c r="CH65" i="9"/>
  <c r="CH66" i="9"/>
  <c r="CH67" i="9"/>
  <c r="CH68" i="9"/>
  <c r="CH69" i="9"/>
  <c r="CH70" i="9"/>
  <c r="CH71" i="9"/>
  <c r="CH72" i="9"/>
  <c r="CH73" i="9"/>
  <c r="CH74" i="9"/>
  <c r="CH75" i="9"/>
  <c r="CH76" i="9"/>
  <c r="CH77" i="9"/>
  <c r="CH78" i="9"/>
  <c r="CI6" i="9"/>
  <c r="CI7" i="9"/>
  <c r="CI8" i="9"/>
  <c r="CI9" i="9"/>
  <c r="CI10" i="9"/>
  <c r="CI11" i="9"/>
  <c r="CI12" i="9"/>
  <c r="CI13" i="9"/>
  <c r="CI14" i="9"/>
  <c r="CI15" i="9"/>
  <c r="CI16" i="9"/>
  <c r="CI17" i="9"/>
  <c r="CI18" i="9"/>
  <c r="CI19" i="9"/>
  <c r="CI20" i="9"/>
  <c r="CI21" i="9"/>
  <c r="CI22" i="9"/>
  <c r="CI23" i="9"/>
  <c r="CI24" i="9"/>
  <c r="CI25" i="9"/>
  <c r="CI26" i="9"/>
  <c r="CI27" i="9"/>
  <c r="CI28" i="9"/>
  <c r="CI29" i="9"/>
  <c r="CI30" i="9"/>
  <c r="CI31" i="9"/>
  <c r="CI32" i="9"/>
  <c r="CI33" i="9"/>
  <c r="CI34" i="9"/>
  <c r="CI35" i="9"/>
  <c r="CI36" i="9"/>
  <c r="CI37" i="9"/>
  <c r="CI38" i="9"/>
  <c r="CI39" i="9"/>
  <c r="CI40" i="9"/>
  <c r="CI41" i="9"/>
  <c r="CI42" i="9"/>
  <c r="CI43" i="9"/>
  <c r="CI44" i="9"/>
  <c r="CI45" i="9"/>
  <c r="CI46" i="9"/>
  <c r="CI47" i="9"/>
  <c r="CI48" i="9"/>
  <c r="CI49" i="9"/>
  <c r="CI50" i="9"/>
  <c r="CI51" i="9"/>
  <c r="CI52" i="9"/>
  <c r="CI53" i="9"/>
  <c r="CI54" i="9"/>
  <c r="CI55" i="9"/>
  <c r="CI56" i="9"/>
  <c r="CI57" i="9"/>
  <c r="CI58" i="9"/>
  <c r="CI59" i="9"/>
  <c r="CI60" i="9"/>
  <c r="CI61" i="9"/>
  <c r="CI62" i="9"/>
  <c r="CI63" i="9"/>
  <c r="CI64" i="9"/>
  <c r="CI65" i="9"/>
  <c r="CI66" i="9"/>
  <c r="CI67" i="9"/>
  <c r="CI68" i="9"/>
  <c r="CI69" i="9"/>
  <c r="CI70" i="9"/>
  <c r="CI71" i="9"/>
  <c r="CI72" i="9"/>
  <c r="CI73" i="9"/>
  <c r="CI74" i="9"/>
  <c r="CI75" i="9"/>
  <c r="CI76" i="9"/>
  <c r="CI77" i="9"/>
  <c r="CI78" i="9"/>
  <c r="CI5" i="9"/>
  <c r="CH5" i="9"/>
  <c r="CG5" i="9"/>
  <c r="CF5" i="9"/>
  <c r="CE5" i="9"/>
  <c r="CD5" i="9"/>
  <c r="CC5" i="9"/>
  <c r="CB5" i="9"/>
  <c r="BT6" i="9"/>
  <c r="BT7" i="9"/>
  <c r="BT8" i="9"/>
  <c r="BT9" i="9"/>
  <c r="BT10" i="9"/>
  <c r="BT11" i="9"/>
  <c r="BT12" i="9"/>
  <c r="BT13" i="9"/>
  <c r="BT14" i="9"/>
  <c r="BT15" i="9"/>
  <c r="BT16" i="9"/>
  <c r="BT17" i="9"/>
  <c r="BT18" i="9"/>
  <c r="BT19" i="9"/>
  <c r="BT20" i="9"/>
  <c r="BT21" i="9"/>
  <c r="BT22" i="9"/>
  <c r="BT23" i="9"/>
  <c r="BT24" i="9"/>
  <c r="BT25" i="9"/>
  <c r="BT26" i="9"/>
  <c r="BT27" i="9"/>
  <c r="BT28" i="9"/>
  <c r="BT29" i="9"/>
  <c r="BT30" i="9"/>
  <c r="BT31" i="9"/>
  <c r="BT32" i="9"/>
  <c r="BT33" i="9"/>
  <c r="BT34" i="9"/>
  <c r="BT35" i="9"/>
  <c r="BT36" i="9"/>
  <c r="BT37" i="9"/>
  <c r="BT38" i="9"/>
  <c r="BT39" i="9"/>
  <c r="BT40" i="9"/>
  <c r="BT41" i="9"/>
  <c r="BT42" i="9"/>
  <c r="BT43" i="9"/>
  <c r="BT44" i="9"/>
  <c r="BT45" i="9"/>
  <c r="BT46" i="9"/>
  <c r="BT47" i="9"/>
  <c r="BT48" i="9"/>
  <c r="BT49" i="9"/>
  <c r="BT50" i="9"/>
  <c r="BT51" i="9"/>
  <c r="BT52" i="9"/>
  <c r="BT53" i="9"/>
  <c r="BT54" i="9"/>
  <c r="BT55" i="9"/>
  <c r="BT56" i="9"/>
  <c r="BT57" i="9"/>
  <c r="BT58" i="9"/>
  <c r="BT59" i="9"/>
  <c r="BT60" i="9"/>
  <c r="BT61" i="9"/>
  <c r="BT62" i="9"/>
  <c r="BT63" i="9"/>
  <c r="BT64" i="9"/>
  <c r="BT65" i="9"/>
  <c r="BT66" i="9"/>
  <c r="BT67" i="9"/>
  <c r="BT68" i="9"/>
  <c r="BT69" i="9"/>
  <c r="BT70" i="9"/>
  <c r="BT71" i="9"/>
  <c r="BT72" i="9"/>
  <c r="BT73" i="9"/>
  <c r="BT74" i="9"/>
  <c r="BT75" i="9"/>
  <c r="BT76" i="9"/>
  <c r="BT77" i="9"/>
  <c r="BT78" i="9"/>
  <c r="BU6" i="9"/>
  <c r="BU7" i="9"/>
  <c r="BU8" i="9"/>
  <c r="BU9" i="9"/>
  <c r="BU10" i="9"/>
  <c r="BU11" i="9"/>
  <c r="BU12" i="9"/>
  <c r="BU13" i="9"/>
  <c r="BU14" i="9"/>
  <c r="BU15" i="9"/>
  <c r="BU16" i="9"/>
  <c r="BU17" i="9"/>
  <c r="BU18" i="9"/>
  <c r="BU19" i="9"/>
  <c r="BU20" i="9"/>
  <c r="BU21" i="9"/>
  <c r="BU22" i="9"/>
  <c r="BU23" i="9"/>
  <c r="BU24" i="9"/>
  <c r="BU25" i="9"/>
  <c r="BU26" i="9"/>
  <c r="BU27" i="9"/>
  <c r="BU28" i="9"/>
  <c r="BU29" i="9"/>
  <c r="BU30" i="9"/>
  <c r="BU31" i="9"/>
  <c r="BU32" i="9"/>
  <c r="BU33" i="9"/>
  <c r="BU34" i="9"/>
  <c r="BU35" i="9"/>
  <c r="BU36" i="9"/>
  <c r="BU37" i="9"/>
  <c r="BU38" i="9"/>
  <c r="BU39" i="9"/>
  <c r="BU40" i="9"/>
  <c r="BU41" i="9"/>
  <c r="BU42" i="9"/>
  <c r="BU43" i="9"/>
  <c r="BU44" i="9"/>
  <c r="BU45" i="9"/>
  <c r="BU46" i="9"/>
  <c r="BU47" i="9"/>
  <c r="BU48" i="9"/>
  <c r="BU49" i="9"/>
  <c r="BU50" i="9"/>
  <c r="BU51" i="9"/>
  <c r="BU52" i="9"/>
  <c r="BU53" i="9"/>
  <c r="BU54" i="9"/>
  <c r="BU55" i="9"/>
  <c r="BU56" i="9"/>
  <c r="BU57" i="9"/>
  <c r="BU58" i="9"/>
  <c r="BU59" i="9"/>
  <c r="BU60" i="9"/>
  <c r="BU61" i="9"/>
  <c r="BU62" i="9"/>
  <c r="BU63" i="9"/>
  <c r="BU64" i="9"/>
  <c r="BU65" i="9"/>
  <c r="BU66" i="9"/>
  <c r="BU67" i="9"/>
  <c r="BU68" i="9"/>
  <c r="BU69" i="9"/>
  <c r="BU70" i="9"/>
  <c r="BU71" i="9"/>
  <c r="BU72" i="9"/>
  <c r="BU73" i="9"/>
  <c r="BU74" i="9"/>
  <c r="BU75" i="9"/>
  <c r="BU76" i="9"/>
  <c r="BU77" i="9"/>
  <c r="BU78" i="9"/>
  <c r="BV6" i="9"/>
  <c r="BV7" i="9"/>
  <c r="BV8" i="9"/>
  <c r="BV9" i="9"/>
  <c r="BV10" i="9"/>
  <c r="BV11" i="9"/>
  <c r="BV12" i="9"/>
  <c r="BV13" i="9"/>
  <c r="BV14" i="9"/>
  <c r="BV15" i="9"/>
  <c r="BV16" i="9"/>
  <c r="BV17" i="9"/>
  <c r="BV18" i="9"/>
  <c r="BV19" i="9"/>
  <c r="BV20" i="9"/>
  <c r="BV21" i="9"/>
  <c r="BV22" i="9"/>
  <c r="BV23" i="9"/>
  <c r="BV24" i="9"/>
  <c r="BV25" i="9"/>
  <c r="BV26" i="9"/>
  <c r="BV27" i="9"/>
  <c r="BV28" i="9"/>
  <c r="BV29" i="9"/>
  <c r="BV30" i="9"/>
  <c r="BV31" i="9"/>
  <c r="BV32" i="9"/>
  <c r="BV33" i="9"/>
  <c r="BV34" i="9"/>
  <c r="BV35" i="9"/>
  <c r="BV36" i="9"/>
  <c r="BV37" i="9"/>
  <c r="BV38" i="9"/>
  <c r="BV39" i="9"/>
  <c r="BV40" i="9"/>
  <c r="BV41" i="9"/>
  <c r="BV42" i="9"/>
  <c r="BV43" i="9"/>
  <c r="BV44" i="9"/>
  <c r="BV45" i="9"/>
  <c r="BV46" i="9"/>
  <c r="BV47" i="9"/>
  <c r="BV48" i="9"/>
  <c r="BV49" i="9"/>
  <c r="BV50" i="9"/>
  <c r="BV51" i="9"/>
  <c r="BV52" i="9"/>
  <c r="BV53" i="9"/>
  <c r="BV54" i="9"/>
  <c r="BV55" i="9"/>
  <c r="BV56" i="9"/>
  <c r="BV57" i="9"/>
  <c r="BV58" i="9"/>
  <c r="BV59" i="9"/>
  <c r="BV60" i="9"/>
  <c r="BV61" i="9"/>
  <c r="BV62" i="9"/>
  <c r="BV63" i="9"/>
  <c r="BV64" i="9"/>
  <c r="BV65" i="9"/>
  <c r="BV66" i="9"/>
  <c r="BV67" i="9"/>
  <c r="BV68" i="9"/>
  <c r="BV69" i="9"/>
  <c r="BV70" i="9"/>
  <c r="BV71" i="9"/>
  <c r="BV72" i="9"/>
  <c r="BV73" i="9"/>
  <c r="BV74" i="9"/>
  <c r="BV75" i="9"/>
  <c r="BV76" i="9"/>
  <c r="BV77" i="9"/>
  <c r="BV78" i="9"/>
  <c r="BW6" i="9"/>
  <c r="BW7" i="9"/>
  <c r="BW8" i="9"/>
  <c r="BW9" i="9"/>
  <c r="BW10" i="9"/>
  <c r="BW11" i="9"/>
  <c r="BW12" i="9"/>
  <c r="BW13" i="9"/>
  <c r="BW14" i="9"/>
  <c r="BW15" i="9"/>
  <c r="BW16" i="9"/>
  <c r="BW17" i="9"/>
  <c r="BW18" i="9"/>
  <c r="BW19" i="9"/>
  <c r="BW20" i="9"/>
  <c r="BW21" i="9"/>
  <c r="BW22" i="9"/>
  <c r="BW23" i="9"/>
  <c r="BW24" i="9"/>
  <c r="BW25" i="9"/>
  <c r="BW26" i="9"/>
  <c r="BW27" i="9"/>
  <c r="BW28" i="9"/>
  <c r="BW29" i="9"/>
  <c r="BW30" i="9"/>
  <c r="BW31" i="9"/>
  <c r="BW32" i="9"/>
  <c r="BW33" i="9"/>
  <c r="BW34" i="9"/>
  <c r="BW35" i="9"/>
  <c r="BW36" i="9"/>
  <c r="BW37" i="9"/>
  <c r="BW38" i="9"/>
  <c r="BW39" i="9"/>
  <c r="BW40" i="9"/>
  <c r="BW41" i="9"/>
  <c r="BW42" i="9"/>
  <c r="BW43" i="9"/>
  <c r="BW44" i="9"/>
  <c r="BW45" i="9"/>
  <c r="BW46" i="9"/>
  <c r="BW47" i="9"/>
  <c r="BW48" i="9"/>
  <c r="BW49" i="9"/>
  <c r="BW50" i="9"/>
  <c r="BW51" i="9"/>
  <c r="BW52" i="9"/>
  <c r="BW53" i="9"/>
  <c r="BW54" i="9"/>
  <c r="BW55" i="9"/>
  <c r="BW56" i="9"/>
  <c r="BW57" i="9"/>
  <c r="BW58" i="9"/>
  <c r="BW59" i="9"/>
  <c r="BW60" i="9"/>
  <c r="BW61" i="9"/>
  <c r="BW62" i="9"/>
  <c r="BW63" i="9"/>
  <c r="BW64" i="9"/>
  <c r="BW65" i="9"/>
  <c r="BW66" i="9"/>
  <c r="BW67" i="9"/>
  <c r="BW68" i="9"/>
  <c r="BW69" i="9"/>
  <c r="BW70" i="9"/>
  <c r="BW71" i="9"/>
  <c r="BW72" i="9"/>
  <c r="BW73" i="9"/>
  <c r="BW74" i="9"/>
  <c r="BW75" i="9"/>
  <c r="BW76" i="9"/>
  <c r="BW77" i="9"/>
  <c r="BW78" i="9"/>
  <c r="BX6" i="9"/>
  <c r="BX7" i="9"/>
  <c r="BX8" i="9"/>
  <c r="BX9" i="9"/>
  <c r="BX10" i="9"/>
  <c r="BX11" i="9"/>
  <c r="BX12" i="9"/>
  <c r="BX13" i="9"/>
  <c r="BX14" i="9"/>
  <c r="BX15" i="9"/>
  <c r="BX16" i="9"/>
  <c r="BX17" i="9"/>
  <c r="BX18" i="9"/>
  <c r="BX19" i="9"/>
  <c r="BX20" i="9"/>
  <c r="BX21" i="9"/>
  <c r="BX22" i="9"/>
  <c r="BX23" i="9"/>
  <c r="BX24" i="9"/>
  <c r="BX25" i="9"/>
  <c r="BX26" i="9"/>
  <c r="BX27" i="9"/>
  <c r="BX28" i="9"/>
  <c r="BX29" i="9"/>
  <c r="BX30" i="9"/>
  <c r="BX31" i="9"/>
  <c r="BX32" i="9"/>
  <c r="BX33" i="9"/>
  <c r="BX34" i="9"/>
  <c r="BX35" i="9"/>
  <c r="BX36" i="9"/>
  <c r="BX37" i="9"/>
  <c r="BX38" i="9"/>
  <c r="BX39" i="9"/>
  <c r="BX40" i="9"/>
  <c r="BX41" i="9"/>
  <c r="BX42" i="9"/>
  <c r="BX43" i="9"/>
  <c r="BX44" i="9"/>
  <c r="BX45" i="9"/>
  <c r="BX46" i="9"/>
  <c r="BX47" i="9"/>
  <c r="BX48" i="9"/>
  <c r="BX49" i="9"/>
  <c r="BX50" i="9"/>
  <c r="BX51" i="9"/>
  <c r="BX52" i="9"/>
  <c r="BX53" i="9"/>
  <c r="BX54" i="9"/>
  <c r="BX55" i="9"/>
  <c r="BX56" i="9"/>
  <c r="BX57" i="9"/>
  <c r="BX58" i="9"/>
  <c r="BX59" i="9"/>
  <c r="BX60" i="9"/>
  <c r="BX61" i="9"/>
  <c r="BX62" i="9"/>
  <c r="BX63" i="9"/>
  <c r="BX64" i="9"/>
  <c r="BX65" i="9"/>
  <c r="BX66" i="9"/>
  <c r="BX67" i="9"/>
  <c r="BX68" i="9"/>
  <c r="BX69" i="9"/>
  <c r="BX70" i="9"/>
  <c r="BX71" i="9"/>
  <c r="BX72" i="9"/>
  <c r="BX73" i="9"/>
  <c r="BX74" i="9"/>
  <c r="BX75" i="9"/>
  <c r="BX76" i="9"/>
  <c r="BX77" i="9"/>
  <c r="BX78" i="9"/>
  <c r="BY6" i="9"/>
  <c r="BY7" i="9"/>
  <c r="BY8" i="9"/>
  <c r="BY9" i="9"/>
  <c r="BY10" i="9"/>
  <c r="BY11" i="9"/>
  <c r="BY12" i="9"/>
  <c r="BY13" i="9"/>
  <c r="BY14" i="9"/>
  <c r="BY15" i="9"/>
  <c r="BY16" i="9"/>
  <c r="BY17" i="9"/>
  <c r="BY18" i="9"/>
  <c r="BY19" i="9"/>
  <c r="BY20" i="9"/>
  <c r="BY21" i="9"/>
  <c r="BY22" i="9"/>
  <c r="BY23" i="9"/>
  <c r="BY24" i="9"/>
  <c r="BY25" i="9"/>
  <c r="BY26" i="9"/>
  <c r="BY27" i="9"/>
  <c r="BY28" i="9"/>
  <c r="BY29" i="9"/>
  <c r="BY30" i="9"/>
  <c r="BY31" i="9"/>
  <c r="BY32" i="9"/>
  <c r="BY33" i="9"/>
  <c r="BY34" i="9"/>
  <c r="BY35" i="9"/>
  <c r="BY36" i="9"/>
  <c r="BY37" i="9"/>
  <c r="BY38" i="9"/>
  <c r="BY39" i="9"/>
  <c r="BY40" i="9"/>
  <c r="BY41" i="9"/>
  <c r="BY42" i="9"/>
  <c r="BY43" i="9"/>
  <c r="BY44" i="9"/>
  <c r="BY45" i="9"/>
  <c r="BY46" i="9"/>
  <c r="BY47" i="9"/>
  <c r="BY48" i="9"/>
  <c r="BY49" i="9"/>
  <c r="BY50" i="9"/>
  <c r="BY51" i="9"/>
  <c r="BY52" i="9"/>
  <c r="BY53" i="9"/>
  <c r="BY54" i="9"/>
  <c r="BY55" i="9"/>
  <c r="BY56" i="9"/>
  <c r="BY57" i="9"/>
  <c r="BY58" i="9"/>
  <c r="BY59" i="9"/>
  <c r="BY60" i="9"/>
  <c r="BY61" i="9"/>
  <c r="BY62" i="9"/>
  <c r="BY63" i="9"/>
  <c r="BY64" i="9"/>
  <c r="BY65" i="9"/>
  <c r="BY66" i="9"/>
  <c r="BY67" i="9"/>
  <c r="BY68" i="9"/>
  <c r="BY69" i="9"/>
  <c r="BY70" i="9"/>
  <c r="BY71" i="9"/>
  <c r="BY72" i="9"/>
  <c r="BY73" i="9"/>
  <c r="BY74" i="9"/>
  <c r="BY75" i="9"/>
  <c r="BY76" i="9"/>
  <c r="BY77" i="9"/>
  <c r="BY78" i="9"/>
  <c r="BZ6" i="9"/>
  <c r="BZ7" i="9"/>
  <c r="BZ8" i="9"/>
  <c r="BZ9" i="9"/>
  <c r="BZ10" i="9"/>
  <c r="BZ11" i="9"/>
  <c r="BZ12" i="9"/>
  <c r="BZ13" i="9"/>
  <c r="BZ14" i="9"/>
  <c r="BZ15" i="9"/>
  <c r="BZ16" i="9"/>
  <c r="BZ17" i="9"/>
  <c r="BZ18" i="9"/>
  <c r="BZ19" i="9"/>
  <c r="BZ20" i="9"/>
  <c r="BZ21" i="9"/>
  <c r="BZ22" i="9"/>
  <c r="BZ23" i="9"/>
  <c r="BZ24" i="9"/>
  <c r="BZ25" i="9"/>
  <c r="BZ26" i="9"/>
  <c r="BZ27" i="9"/>
  <c r="BZ28" i="9"/>
  <c r="BZ29" i="9"/>
  <c r="BZ30" i="9"/>
  <c r="BZ31" i="9"/>
  <c r="BZ32" i="9"/>
  <c r="BZ33" i="9"/>
  <c r="BZ34" i="9"/>
  <c r="BZ35" i="9"/>
  <c r="BZ36" i="9"/>
  <c r="BZ37" i="9"/>
  <c r="BZ38" i="9"/>
  <c r="BZ39" i="9"/>
  <c r="BZ40" i="9"/>
  <c r="BZ41" i="9"/>
  <c r="BZ42" i="9"/>
  <c r="BZ43" i="9"/>
  <c r="BZ44" i="9"/>
  <c r="BZ45" i="9"/>
  <c r="BZ46" i="9"/>
  <c r="BZ47" i="9"/>
  <c r="BZ48" i="9"/>
  <c r="BZ49" i="9"/>
  <c r="BZ50" i="9"/>
  <c r="BZ51" i="9"/>
  <c r="BZ52" i="9"/>
  <c r="BZ53" i="9"/>
  <c r="BZ54" i="9"/>
  <c r="BZ55" i="9"/>
  <c r="BZ56" i="9"/>
  <c r="BZ57" i="9"/>
  <c r="BZ58" i="9"/>
  <c r="BZ59" i="9"/>
  <c r="BZ60" i="9"/>
  <c r="BZ61" i="9"/>
  <c r="BZ62" i="9"/>
  <c r="BZ63" i="9"/>
  <c r="BZ64" i="9"/>
  <c r="BZ65" i="9"/>
  <c r="BZ66" i="9"/>
  <c r="BZ67" i="9"/>
  <c r="BZ68" i="9"/>
  <c r="BZ69" i="9"/>
  <c r="BZ70" i="9"/>
  <c r="BZ71" i="9"/>
  <c r="BZ72" i="9"/>
  <c r="BZ73" i="9"/>
  <c r="BZ74" i="9"/>
  <c r="BZ75" i="9"/>
  <c r="BZ76" i="9"/>
  <c r="BZ77" i="9"/>
  <c r="BZ78" i="9"/>
  <c r="CA6" i="9"/>
  <c r="CA7" i="9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CA49" i="9"/>
  <c r="CA50" i="9"/>
  <c r="CA51" i="9"/>
  <c r="CA52" i="9"/>
  <c r="CA53" i="9"/>
  <c r="CA54" i="9"/>
  <c r="CA55" i="9"/>
  <c r="CA56" i="9"/>
  <c r="CA57" i="9"/>
  <c r="CA58" i="9"/>
  <c r="CA59" i="9"/>
  <c r="CA60" i="9"/>
  <c r="CA61" i="9"/>
  <c r="CA62" i="9"/>
  <c r="CA63" i="9"/>
  <c r="CA64" i="9"/>
  <c r="CA65" i="9"/>
  <c r="CA66" i="9"/>
  <c r="CA67" i="9"/>
  <c r="CA68" i="9"/>
  <c r="CA69" i="9"/>
  <c r="CA70" i="9"/>
  <c r="CA71" i="9"/>
  <c r="CA72" i="9"/>
  <c r="CA73" i="9"/>
  <c r="CA74" i="9"/>
  <c r="CA75" i="9"/>
  <c r="CA76" i="9"/>
  <c r="CA77" i="9"/>
  <c r="CA78" i="9"/>
  <c r="CA5" i="9"/>
  <c r="BZ5" i="9"/>
  <c r="BY5" i="9"/>
  <c r="BX5" i="9"/>
  <c r="BW5" i="9"/>
  <c r="BV5" i="9"/>
  <c r="BU5" i="9"/>
  <c r="BT5" i="9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3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56" i="9"/>
  <c r="BM57" i="9"/>
  <c r="BM58" i="9"/>
  <c r="BM59" i="9"/>
  <c r="BM60" i="9"/>
  <c r="BM61" i="9"/>
  <c r="BM62" i="9"/>
  <c r="BM63" i="9"/>
  <c r="BM64" i="9"/>
  <c r="BM65" i="9"/>
  <c r="BM66" i="9"/>
  <c r="BM67" i="9"/>
  <c r="BM68" i="9"/>
  <c r="BM69" i="9"/>
  <c r="BM70" i="9"/>
  <c r="BM71" i="9"/>
  <c r="BM72" i="9"/>
  <c r="BM73" i="9"/>
  <c r="BM74" i="9"/>
  <c r="BM75" i="9"/>
  <c r="BM76" i="9"/>
  <c r="BM77" i="9"/>
  <c r="BM78" i="9"/>
  <c r="BN6" i="9"/>
  <c r="BN7" i="9"/>
  <c r="BN8" i="9"/>
  <c r="BN9" i="9"/>
  <c r="BN10" i="9"/>
  <c r="BN11" i="9"/>
  <c r="BN12" i="9"/>
  <c r="BN13" i="9"/>
  <c r="BN14" i="9"/>
  <c r="BN15" i="9"/>
  <c r="BN16" i="9"/>
  <c r="BN17" i="9"/>
  <c r="BN18" i="9"/>
  <c r="BN19" i="9"/>
  <c r="BN20" i="9"/>
  <c r="BN21" i="9"/>
  <c r="BN22" i="9"/>
  <c r="BN23" i="9"/>
  <c r="BN24" i="9"/>
  <c r="BN25" i="9"/>
  <c r="BN26" i="9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43" i="9"/>
  <c r="BN44" i="9"/>
  <c r="BN45" i="9"/>
  <c r="BN46" i="9"/>
  <c r="BN47" i="9"/>
  <c r="BN48" i="9"/>
  <c r="BN49" i="9"/>
  <c r="BN50" i="9"/>
  <c r="BN51" i="9"/>
  <c r="BN52" i="9"/>
  <c r="BN53" i="9"/>
  <c r="BN54" i="9"/>
  <c r="BN55" i="9"/>
  <c r="BN56" i="9"/>
  <c r="BN57" i="9"/>
  <c r="BN58" i="9"/>
  <c r="BN59" i="9"/>
  <c r="BN60" i="9"/>
  <c r="BN61" i="9"/>
  <c r="BN62" i="9"/>
  <c r="BN63" i="9"/>
  <c r="BN64" i="9"/>
  <c r="BN65" i="9"/>
  <c r="BN66" i="9"/>
  <c r="BN67" i="9"/>
  <c r="BN68" i="9"/>
  <c r="BN69" i="9"/>
  <c r="BN70" i="9"/>
  <c r="BN71" i="9"/>
  <c r="BN72" i="9"/>
  <c r="BN73" i="9"/>
  <c r="BN74" i="9"/>
  <c r="BN75" i="9"/>
  <c r="BN76" i="9"/>
  <c r="BN77" i="9"/>
  <c r="BN78" i="9"/>
  <c r="BO6" i="9"/>
  <c r="BO7" i="9"/>
  <c r="BO8" i="9"/>
  <c r="BO9" i="9"/>
  <c r="BO10" i="9"/>
  <c r="BO11" i="9"/>
  <c r="BO12" i="9"/>
  <c r="BO13" i="9"/>
  <c r="BO14" i="9"/>
  <c r="BO15" i="9"/>
  <c r="BO16" i="9"/>
  <c r="BO17" i="9"/>
  <c r="BO18" i="9"/>
  <c r="BO19" i="9"/>
  <c r="BO20" i="9"/>
  <c r="BO21" i="9"/>
  <c r="BO22" i="9"/>
  <c r="BO23" i="9"/>
  <c r="BO24" i="9"/>
  <c r="BO25" i="9"/>
  <c r="BO26" i="9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43" i="9"/>
  <c r="BO44" i="9"/>
  <c r="BO45" i="9"/>
  <c r="BO46" i="9"/>
  <c r="BO47" i="9"/>
  <c r="BO48" i="9"/>
  <c r="BO49" i="9"/>
  <c r="BO50" i="9"/>
  <c r="BO51" i="9"/>
  <c r="BO52" i="9"/>
  <c r="BO53" i="9"/>
  <c r="BO54" i="9"/>
  <c r="BO55" i="9"/>
  <c r="BO56" i="9"/>
  <c r="BO57" i="9"/>
  <c r="BO58" i="9"/>
  <c r="BO59" i="9"/>
  <c r="BO60" i="9"/>
  <c r="BO61" i="9"/>
  <c r="BO62" i="9"/>
  <c r="BO63" i="9"/>
  <c r="BO64" i="9"/>
  <c r="BO65" i="9"/>
  <c r="BO66" i="9"/>
  <c r="BO67" i="9"/>
  <c r="BO68" i="9"/>
  <c r="BO69" i="9"/>
  <c r="BO70" i="9"/>
  <c r="BO71" i="9"/>
  <c r="BO72" i="9"/>
  <c r="BO73" i="9"/>
  <c r="BO74" i="9"/>
  <c r="BO75" i="9"/>
  <c r="BO76" i="9"/>
  <c r="BO77" i="9"/>
  <c r="BO78" i="9"/>
  <c r="BP6" i="9"/>
  <c r="BP7" i="9"/>
  <c r="BP8" i="9"/>
  <c r="BP9" i="9"/>
  <c r="BP10" i="9"/>
  <c r="BP11" i="9"/>
  <c r="BP12" i="9"/>
  <c r="BP13" i="9"/>
  <c r="BP14" i="9"/>
  <c r="BP15" i="9"/>
  <c r="BP16" i="9"/>
  <c r="BP17" i="9"/>
  <c r="BP18" i="9"/>
  <c r="BP19" i="9"/>
  <c r="BP20" i="9"/>
  <c r="BP21" i="9"/>
  <c r="BP22" i="9"/>
  <c r="BP23" i="9"/>
  <c r="BP24" i="9"/>
  <c r="BP25" i="9"/>
  <c r="BP26" i="9"/>
  <c r="BP27" i="9"/>
  <c r="BP28" i="9"/>
  <c r="BP29" i="9"/>
  <c r="BP30" i="9"/>
  <c r="BP31" i="9"/>
  <c r="BP32" i="9"/>
  <c r="BP33" i="9"/>
  <c r="BP34" i="9"/>
  <c r="BP35" i="9"/>
  <c r="BP36" i="9"/>
  <c r="BP37" i="9"/>
  <c r="BP38" i="9"/>
  <c r="BP39" i="9"/>
  <c r="BP40" i="9"/>
  <c r="BP41" i="9"/>
  <c r="BP42" i="9"/>
  <c r="BP43" i="9"/>
  <c r="BP44" i="9"/>
  <c r="BP45" i="9"/>
  <c r="BP46" i="9"/>
  <c r="BP47" i="9"/>
  <c r="BP48" i="9"/>
  <c r="BP49" i="9"/>
  <c r="BP50" i="9"/>
  <c r="BP51" i="9"/>
  <c r="BP52" i="9"/>
  <c r="BP53" i="9"/>
  <c r="BP54" i="9"/>
  <c r="BP55" i="9"/>
  <c r="BP56" i="9"/>
  <c r="BP57" i="9"/>
  <c r="BP58" i="9"/>
  <c r="BP59" i="9"/>
  <c r="BP60" i="9"/>
  <c r="BP61" i="9"/>
  <c r="BP62" i="9"/>
  <c r="BP63" i="9"/>
  <c r="BP64" i="9"/>
  <c r="BP65" i="9"/>
  <c r="BP66" i="9"/>
  <c r="BP67" i="9"/>
  <c r="BP68" i="9"/>
  <c r="BP69" i="9"/>
  <c r="BP70" i="9"/>
  <c r="BP71" i="9"/>
  <c r="BP72" i="9"/>
  <c r="BP73" i="9"/>
  <c r="BP74" i="9"/>
  <c r="BP75" i="9"/>
  <c r="BP76" i="9"/>
  <c r="BP77" i="9"/>
  <c r="BP78" i="9"/>
  <c r="BQ6" i="9"/>
  <c r="BQ7" i="9"/>
  <c r="BQ8" i="9"/>
  <c r="BQ9" i="9"/>
  <c r="BQ10" i="9"/>
  <c r="BQ11" i="9"/>
  <c r="BQ12" i="9"/>
  <c r="BQ13" i="9"/>
  <c r="BQ14" i="9"/>
  <c r="BQ15" i="9"/>
  <c r="BQ16" i="9"/>
  <c r="BQ17" i="9"/>
  <c r="BQ18" i="9"/>
  <c r="BQ19" i="9"/>
  <c r="BQ20" i="9"/>
  <c r="BQ21" i="9"/>
  <c r="BQ22" i="9"/>
  <c r="BQ23" i="9"/>
  <c r="BQ24" i="9"/>
  <c r="BQ25" i="9"/>
  <c r="BQ26" i="9"/>
  <c r="BQ27" i="9"/>
  <c r="BQ28" i="9"/>
  <c r="BQ29" i="9"/>
  <c r="BQ30" i="9"/>
  <c r="BQ31" i="9"/>
  <c r="BQ32" i="9"/>
  <c r="BQ33" i="9"/>
  <c r="BQ34" i="9"/>
  <c r="BQ35" i="9"/>
  <c r="BQ36" i="9"/>
  <c r="BQ37" i="9"/>
  <c r="BQ38" i="9"/>
  <c r="BQ39" i="9"/>
  <c r="BQ40" i="9"/>
  <c r="BQ41" i="9"/>
  <c r="BQ42" i="9"/>
  <c r="BQ43" i="9"/>
  <c r="BQ44" i="9"/>
  <c r="BQ45" i="9"/>
  <c r="BQ46" i="9"/>
  <c r="BQ47" i="9"/>
  <c r="BQ48" i="9"/>
  <c r="BQ49" i="9"/>
  <c r="BQ50" i="9"/>
  <c r="BQ51" i="9"/>
  <c r="BQ52" i="9"/>
  <c r="BQ53" i="9"/>
  <c r="BQ54" i="9"/>
  <c r="BQ55" i="9"/>
  <c r="BQ56" i="9"/>
  <c r="BQ57" i="9"/>
  <c r="BQ58" i="9"/>
  <c r="BQ59" i="9"/>
  <c r="BQ60" i="9"/>
  <c r="BQ61" i="9"/>
  <c r="BQ62" i="9"/>
  <c r="BQ63" i="9"/>
  <c r="BQ64" i="9"/>
  <c r="BQ65" i="9"/>
  <c r="BQ66" i="9"/>
  <c r="BQ67" i="9"/>
  <c r="BQ68" i="9"/>
  <c r="BQ69" i="9"/>
  <c r="BQ70" i="9"/>
  <c r="BQ71" i="9"/>
  <c r="BQ72" i="9"/>
  <c r="BQ73" i="9"/>
  <c r="BQ74" i="9"/>
  <c r="BQ75" i="9"/>
  <c r="BQ76" i="9"/>
  <c r="BQ77" i="9"/>
  <c r="BQ78" i="9"/>
  <c r="BR6" i="9"/>
  <c r="BR7" i="9"/>
  <c r="BR8" i="9"/>
  <c r="BR9" i="9"/>
  <c r="BR10" i="9"/>
  <c r="BR11" i="9"/>
  <c r="BR12" i="9"/>
  <c r="BR13" i="9"/>
  <c r="BR14" i="9"/>
  <c r="BR15" i="9"/>
  <c r="BR16" i="9"/>
  <c r="BR17" i="9"/>
  <c r="BR18" i="9"/>
  <c r="BR19" i="9"/>
  <c r="BR20" i="9"/>
  <c r="BR21" i="9"/>
  <c r="BR22" i="9"/>
  <c r="BR23" i="9"/>
  <c r="BR24" i="9"/>
  <c r="BR25" i="9"/>
  <c r="BR26" i="9"/>
  <c r="BR27" i="9"/>
  <c r="BR28" i="9"/>
  <c r="BR29" i="9"/>
  <c r="BR30" i="9"/>
  <c r="BR31" i="9"/>
  <c r="BR32" i="9"/>
  <c r="BR33" i="9"/>
  <c r="BR34" i="9"/>
  <c r="BR35" i="9"/>
  <c r="BR36" i="9"/>
  <c r="BR37" i="9"/>
  <c r="BR38" i="9"/>
  <c r="BR39" i="9"/>
  <c r="BR40" i="9"/>
  <c r="BR41" i="9"/>
  <c r="BR42" i="9"/>
  <c r="BR43" i="9"/>
  <c r="BR44" i="9"/>
  <c r="BR45" i="9"/>
  <c r="BR46" i="9"/>
  <c r="BR47" i="9"/>
  <c r="BR48" i="9"/>
  <c r="BR49" i="9"/>
  <c r="BR50" i="9"/>
  <c r="BR51" i="9"/>
  <c r="BR52" i="9"/>
  <c r="BR53" i="9"/>
  <c r="BR54" i="9"/>
  <c r="BR55" i="9"/>
  <c r="BR56" i="9"/>
  <c r="BR57" i="9"/>
  <c r="BR58" i="9"/>
  <c r="BR59" i="9"/>
  <c r="BR60" i="9"/>
  <c r="BR61" i="9"/>
  <c r="BR62" i="9"/>
  <c r="BR63" i="9"/>
  <c r="BR64" i="9"/>
  <c r="BR65" i="9"/>
  <c r="BR66" i="9"/>
  <c r="BR67" i="9"/>
  <c r="BR68" i="9"/>
  <c r="BR69" i="9"/>
  <c r="BR70" i="9"/>
  <c r="BR71" i="9"/>
  <c r="BR72" i="9"/>
  <c r="BR73" i="9"/>
  <c r="BR74" i="9"/>
  <c r="BR75" i="9"/>
  <c r="BR76" i="9"/>
  <c r="BR77" i="9"/>
  <c r="BR78" i="9"/>
  <c r="BS6" i="9"/>
  <c r="BS7" i="9"/>
  <c r="BS8" i="9"/>
  <c r="BS9" i="9"/>
  <c r="BS10" i="9"/>
  <c r="BS11" i="9"/>
  <c r="BS12" i="9"/>
  <c r="BS13" i="9"/>
  <c r="BS14" i="9"/>
  <c r="BS15" i="9"/>
  <c r="BS16" i="9"/>
  <c r="BS17" i="9"/>
  <c r="BS18" i="9"/>
  <c r="BS19" i="9"/>
  <c r="BS20" i="9"/>
  <c r="BS21" i="9"/>
  <c r="BS22" i="9"/>
  <c r="BS23" i="9"/>
  <c r="BS24" i="9"/>
  <c r="BS25" i="9"/>
  <c r="BS26" i="9"/>
  <c r="BS27" i="9"/>
  <c r="BS28" i="9"/>
  <c r="BS29" i="9"/>
  <c r="BS30" i="9"/>
  <c r="BS31" i="9"/>
  <c r="BS32" i="9"/>
  <c r="BS33" i="9"/>
  <c r="BS34" i="9"/>
  <c r="BS35" i="9"/>
  <c r="BS36" i="9"/>
  <c r="BS37" i="9"/>
  <c r="BS38" i="9"/>
  <c r="BS39" i="9"/>
  <c r="BS40" i="9"/>
  <c r="BS41" i="9"/>
  <c r="BS42" i="9"/>
  <c r="BS43" i="9"/>
  <c r="BS44" i="9"/>
  <c r="BS45" i="9"/>
  <c r="BS46" i="9"/>
  <c r="BS47" i="9"/>
  <c r="BS48" i="9"/>
  <c r="BS49" i="9"/>
  <c r="BS50" i="9"/>
  <c r="BS51" i="9"/>
  <c r="BS52" i="9"/>
  <c r="BS53" i="9"/>
  <c r="BS54" i="9"/>
  <c r="BS55" i="9"/>
  <c r="BS56" i="9"/>
  <c r="BS57" i="9"/>
  <c r="BS58" i="9"/>
  <c r="BS59" i="9"/>
  <c r="BS60" i="9"/>
  <c r="BS61" i="9"/>
  <c r="BS62" i="9"/>
  <c r="BS63" i="9"/>
  <c r="BS64" i="9"/>
  <c r="BS65" i="9"/>
  <c r="BS66" i="9"/>
  <c r="BS67" i="9"/>
  <c r="BS68" i="9"/>
  <c r="BS69" i="9"/>
  <c r="BS70" i="9"/>
  <c r="BS71" i="9"/>
  <c r="BS72" i="9"/>
  <c r="BS73" i="9"/>
  <c r="BS74" i="9"/>
  <c r="BS75" i="9"/>
  <c r="BS76" i="9"/>
  <c r="BS77" i="9"/>
  <c r="BS78" i="9"/>
  <c r="BS5" i="9"/>
  <c r="BR5" i="9"/>
  <c r="BQ5" i="9"/>
  <c r="BP5" i="9"/>
  <c r="BO5" i="9"/>
  <c r="BN5" i="9"/>
  <c r="BM5" i="9"/>
  <c r="BF6" i="9"/>
  <c r="BF7" i="9"/>
  <c r="BF8" i="9"/>
  <c r="BF9" i="9"/>
  <c r="BF10" i="9"/>
  <c r="BF11" i="9"/>
  <c r="BF12" i="9"/>
  <c r="BF13" i="9"/>
  <c r="BF14" i="9"/>
  <c r="BF15" i="9"/>
  <c r="BF16" i="9"/>
  <c r="BF17" i="9"/>
  <c r="BF18" i="9"/>
  <c r="BF19" i="9"/>
  <c r="BF20" i="9"/>
  <c r="BF21" i="9"/>
  <c r="BF22" i="9"/>
  <c r="BF23" i="9"/>
  <c r="BF24" i="9"/>
  <c r="BF25" i="9"/>
  <c r="BF26" i="9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43" i="9"/>
  <c r="BF44" i="9"/>
  <c r="BF45" i="9"/>
  <c r="BF46" i="9"/>
  <c r="BF47" i="9"/>
  <c r="BF48" i="9"/>
  <c r="BF49" i="9"/>
  <c r="BF50" i="9"/>
  <c r="BF51" i="9"/>
  <c r="BF52" i="9"/>
  <c r="BF53" i="9"/>
  <c r="BF54" i="9"/>
  <c r="BF55" i="9"/>
  <c r="BF56" i="9"/>
  <c r="BF57" i="9"/>
  <c r="BF58" i="9"/>
  <c r="BF59" i="9"/>
  <c r="BF60" i="9"/>
  <c r="BF61" i="9"/>
  <c r="BF62" i="9"/>
  <c r="BF63" i="9"/>
  <c r="BF64" i="9"/>
  <c r="BF65" i="9"/>
  <c r="BF66" i="9"/>
  <c r="BF67" i="9"/>
  <c r="BF68" i="9"/>
  <c r="BF69" i="9"/>
  <c r="BF70" i="9"/>
  <c r="BF71" i="9"/>
  <c r="BF72" i="9"/>
  <c r="BF73" i="9"/>
  <c r="BF74" i="9"/>
  <c r="BF75" i="9"/>
  <c r="BF76" i="9"/>
  <c r="BF77" i="9"/>
  <c r="BF78" i="9"/>
  <c r="BG6" i="9"/>
  <c r="BG7" i="9"/>
  <c r="BG8" i="9"/>
  <c r="BG9" i="9"/>
  <c r="BG10" i="9"/>
  <c r="BG11" i="9"/>
  <c r="BG12" i="9"/>
  <c r="BG13" i="9"/>
  <c r="BG14" i="9"/>
  <c r="BG15" i="9"/>
  <c r="BG16" i="9"/>
  <c r="BG17" i="9"/>
  <c r="BG18" i="9"/>
  <c r="BG19" i="9"/>
  <c r="BG20" i="9"/>
  <c r="BG21" i="9"/>
  <c r="BG22" i="9"/>
  <c r="BG23" i="9"/>
  <c r="BG24" i="9"/>
  <c r="BG25" i="9"/>
  <c r="BG26" i="9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43" i="9"/>
  <c r="BG44" i="9"/>
  <c r="BG45" i="9"/>
  <c r="BG46" i="9"/>
  <c r="BG47" i="9"/>
  <c r="BG48" i="9"/>
  <c r="BG49" i="9"/>
  <c r="BG50" i="9"/>
  <c r="BG51" i="9"/>
  <c r="BG52" i="9"/>
  <c r="BG53" i="9"/>
  <c r="BG54" i="9"/>
  <c r="BG55" i="9"/>
  <c r="BG56" i="9"/>
  <c r="BG57" i="9"/>
  <c r="BG58" i="9"/>
  <c r="BG59" i="9"/>
  <c r="BG60" i="9"/>
  <c r="BG61" i="9"/>
  <c r="BG62" i="9"/>
  <c r="BG63" i="9"/>
  <c r="BG64" i="9"/>
  <c r="BG65" i="9"/>
  <c r="BG66" i="9"/>
  <c r="BG67" i="9"/>
  <c r="BG68" i="9"/>
  <c r="BG69" i="9"/>
  <c r="BG70" i="9"/>
  <c r="BG71" i="9"/>
  <c r="BG72" i="9"/>
  <c r="BG73" i="9"/>
  <c r="BG74" i="9"/>
  <c r="BG75" i="9"/>
  <c r="BG76" i="9"/>
  <c r="BG77" i="9"/>
  <c r="BG78" i="9"/>
  <c r="BH6" i="9"/>
  <c r="BH7" i="9"/>
  <c r="BH8" i="9"/>
  <c r="BH9" i="9"/>
  <c r="BH10" i="9"/>
  <c r="BH11" i="9"/>
  <c r="BH12" i="9"/>
  <c r="BH13" i="9"/>
  <c r="BH14" i="9"/>
  <c r="BH15" i="9"/>
  <c r="BH16" i="9"/>
  <c r="BH17" i="9"/>
  <c r="BH18" i="9"/>
  <c r="BH19" i="9"/>
  <c r="BH20" i="9"/>
  <c r="BH21" i="9"/>
  <c r="BH22" i="9"/>
  <c r="BH23" i="9"/>
  <c r="BH24" i="9"/>
  <c r="BH25" i="9"/>
  <c r="BH26" i="9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43" i="9"/>
  <c r="BH44" i="9"/>
  <c r="BH45" i="9"/>
  <c r="BH46" i="9"/>
  <c r="BH47" i="9"/>
  <c r="BH48" i="9"/>
  <c r="BH49" i="9"/>
  <c r="BH50" i="9"/>
  <c r="BH51" i="9"/>
  <c r="BH52" i="9"/>
  <c r="BH53" i="9"/>
  <c r="BH54" i="9"/>
  <c r="BH55" i="9"/>
  <c r="BH56" i="9"/>
  <c r="BH57" i="9"/>
  <c r="BH58" i="9"/>
  <c r="BH59" i="9"/>
  <c r="BH60" i="9"/>
  <c r="BH61" i="9"/>
  <c r="BH62" i="9"/>
  <c r="BH63" i="9"/>
  <c r="BH64" i="9"/>
  <c r="BH65" i="9"/>
  <c r="BH66" i="9"/>
  <c r="BH67" i="9"/>
  <c r="BH68" i="9"/>
  <c r="BH69" i="9"/>
  <c r="BH70" i="9"/>
  <c r="BH71" i="9"/>
  <c r="BH72" i="9"/>
  <c r="BH73" i="9"/>
  <c r="BH74" i="9"/>
  <c r="BH75" i="9"/>
  <c r="BH76" i="9"/>
  <c r="BH77" i="9"/>
  <c r="BH78" i="9"/>
  <c r="BI6" i="9"/>
  <c r="BI7" i="9"/>
  <c r="BI8" i="9"/>
  <c r="BI9" i="9"/>
  <c r="BI10" i="9"/>
  <c r="BI11" i="9"/>
  <c r="BI12" i="9"/>
  <c r="BI13" i="9"/>
  <c r="BI14" i="9"/>
  <c r="BI15" i="9"/>
  <c r="BI16" i="9"/>
  <c r="BI17" i="9"/>
  <c r="BI18" i="9"/>
  <c r="BI19" i="9"/>
  <c r="BI20" i="9"/>
  <c r="BI21" i="9"/>
  <c r="BI22" i="9"/>
  <c r="BI23" i="9"/>
  <c r="BI24" i="9"/>
  <c r="BI25" i="9"/>
  <c r="BI26" i="9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43" i="9"/>
  <c r="BI44" i="9"/>
  <c r="BI45" i="9"/>
  <c r="BI46" i="9"/>
  <c r="BI47" i="9"/>
  <c r="BI48" i="9"/>
  <c r="BI49" i="9"/>
  <c r="BI50" i="9"/>
  <c r="BI51" i="9"/>
  <c r="BI52" i="9"/>
  <c r="BI53" i="9"/>
  <c r="BI54" i="9"/>
  <c r="BI55" i="9"/>
  <c r="BI56" i="9"/>
  <c r="BI57" i="9"/>
  <c r="BI58" i="9"/>
  <c r="BI59" i="9"/>
  <c r="BI60" i="9"/>
  <c r="BI61" i="9"/>
  <c r="BI62" i="9"/>
  <c r="BI63" i="9"/>
  <c r="BI64" i="9"/>
  <c r="BI65" i="9"/>
  <c r="BI66" i="9"/>
  <c r="BI67" i="9"/>
  <c r="BI68" i="9"/>
  <c r="BI69" i="9"/>
  <c r="BI70" i="9"/>
  <c r="BI71" i="9"/>
  <c r="BI72" i="9"/>
  <c r="BI73" i="9"/>
  <c r="BI74" i="9"/>
  <c r="BI75" i="9"/>
  <c r="BI76" i="9"/>
  <c r="BI77" i="9"/>
  <c r="BI78" i="9"/>
  <c r="BJ6" i="9"/>
  <c r="BJ7" i="9"/>
  <c r="BJ8" i="9"/>
  <c r="BJ9" i="9"/>
  <c r="BJ10" i="9"/>
  <c r="BJ11" i="9"/>
  <c r="BJ12" i="9"/>
  <c r="BJ13" i="9"/>
  <c r="BJ14" i="9"/>
  <c r="BJ15" i="9"/>
  <c r="BJ16" i="9"/>
  <c r="BJ17" i="9"/>
  <c r="BJ18" i="9"/>
  <c r="BJ19" i="9"/>
  <c r="BJ20" i="9"/>
  <c r="BJ21" i="9"/>
  <c r="BJ22" i="9"/>
  <c r="BJ23" i="9"/>
  <c r="BJ24" i="9"/>
  <c r="BJ25" i="9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43" i="9"/>
  <c r="BJ44" i="9"/>
  <c r="BJ45" i="9"/>
  <c r="BJ46" i="9"/>
  <c r="BJ47" i="9"/>
  <c r="BJ48" i="9"/>
  <c r="BJ49" i="9"/>
  <c r="BJ50" i="9"/>
  <c r="BJ51" i="9"/>
  <c r="BJ52" i="9"/>
  <c r="BJ53" i="9"/>
  <c r="BJ54" i="9"/>
  <c r="BJ55" i="9"/>
  <c r="BJ56" i="9"/>
  <c r="BJ57" i="9"/>
  <c r="BJ58" i="9"/>
  <c r="BJ59" i="9"/>
  <c r="BJ60" i="9"/>
  <c r="BJ61" i="9"/>
  <c r="BJ62" i="9"/>
  <c r="BJ63" i="9"/>
  <c r="BJ64" i="9"/>
  <c r="BJ65" i="9"/>
  <c r="BJ66" i="9"/>
  <c r="BJ67" i="9"/>
  <c r="BJ68" i="9"/>
  <c r="BJ69" i="9"/>
  <c r="BJ70" i="9"/>
  <c r="BJ71" i="9"/>
  <c r="BJ72" i="9"/>
  <c r="BJ73" i="9"/>
  <c r="BJ74" i="9"/>
  <c r="BJ75" i="9"/>
  <c r="BJ76" i="9"/>
  <c r="BJ77" i="9"/>
  <c r="BJ78" i="9"/>
  <c r="BK6" i="9"/>
  <c r="BK7" i="9"/>
  <c r="BK8" i="9"/>
  <c r="BK9" i="9"/>
  <c r="BK10" i="9"/>
  <c r="BK11" i="9"/>
  <c r="BK12" i="9"/>
  <c r="BK13" i="9"/>
  <c r="BK14" i="9"/>
  <c r="BK15" i="9"/>
  <c r="BK16" i="9"/>
  <c r="BK17" i="9"/>
  <c r="BK18" i="9"/>
  <c r="BK19" i="9"/>
  <c r="BK20" i="9"/>
  <c r="BK21" i="9"/>
  <c r="BK22" i="9"/>
  <c r="BK23" i="9"/>
  <c r="BK24" i="9"/>
  <c r="BK25" i="9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BK43" i="9"/>
  <c r="BK44" i="9"/>
  <c r="BK45" i="9"/>
  <c r="BK46" i="9"/>
  <c r="BK47" i="9"/>
  <c r="BK48" i="9"/>
  <c r="BK49" i="9"/>
  <c r="BK50" i="9"/>
  <c r="BK51" i="9"/>
  <c r="BK52" i="9"/>
  <c r="BK53" i="9"/>
  <c r="BK54" i="9"/>
  <c r="BK55" i="9"/>
  <c r="BK56" i="9"/>
  <c r="BK57" i="9"/>
  <c r="BK58" i="9"/>
  <c r="BK59" i="9"/>
  <c r="BK60" i="9"/>
  <c r="BK61" i="9"/>
  <c r="BK62" i="9"/>
  <c r="BK63" i="9"/>
  <c r="BK64" i="9"/>
  <c r="BK65" i="9"/>
  <c r="BK66" i="9"/>
  <c r="BK67" i="9"/>
  <c r="BK68" i="9"/>
  <c r="BK69" i="9"/>
  <c r="BK70" i="9"/>
  <c r="BK71" i="9"/>
  <c r="BK72" i="9"/>
  <c r="BK73" i="9"/>
  <c r="BK74" i="9"/>
  <c r="BK75" i="9"/>
  <c r="BK76" i="9"/>
  <c r="BK77" i="9"/>
  <c r="BK78" i="9"/>
  <c r="BL6" i="9"/>
  <c r="BL7" i="9"/>
  <c r="BL8" i="9"/>
  <c r="BL9" i="9"/>
  <c r="BL10" i="9"/>
  <c r="BL11" i="9"/>
  <c r="BL12" i="9"/>
  <c r="BL13" i="9"/>
  <c r="BL14" i="9"/>
  <c r="BL15" i="9"/>
  <c r="BL16" i="9"/>
  <c r="BL17" i="9"/>
  <c r="BL18" i="9"/>
  <c r="BL19" i="9"/>
  <c r="BL20" i="9"/>
  <c r="BL21" i="9"/>
  <c r="BL22" i="9"/>
  <c r="BL23" i="9"/>
  <c r="BL24" i="9"/>
  <c r="BL25" i="9"/>
  <c r="BL26" i="9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43" i="9"/>
  <c r="BL44" i="9"/>
  <c r="BL45" i="9"/>
  <c r="BL46" i="9"/>
  <c r="BL47" i="9"/>
  <c r="BL48" i="9"/>
  <c r="BL49" i="9"/>
  <c r="BL50" i="9"/>
  <c r="BL51" i="9"/>
  <c r="BL52" i="9"/>
  <c r="BL53" i="9"/>
  <c r="BL54" i="9"/>
  <c r="BL55" i="9"/>
  <c r="BL56" i="9"/>
  <c r="BL57" i="9"/>
  <c r="BL58" i="9"/>
  <c r="BL59" i="9"/>
  <c r="BL60" i="9"/>
  <c r="BL61" i="9"/>
  <c r="BL62" i="9"/>
  <c r="BL63" i="9"/>
  <c r="BL64" i="9"/>
  <c r="BL65" i="9"/>
  <c r="BL66" i="9"/>
  <c r="BL67" i="9"/>
  <c r="BL68" i="9"/>
  <c r="BL69" i="9"/>
  <c r="BL70" i="9"/>
  <c r="BL71" i="9"/>
  <c r="BL72" i="9"/>
  <c r="BL73" i="9"/>
  <c r="BL74" i="9"/>
  <c r="BL75" i="9"/>
  <c r="BL76" i="9"/>
  <c r="BL77" i="9"/>
  <c r="BL78" i="9"/>
  <c r="BL5" i="9"/>
  <c r="BK5" i="9"/>
  <c r="BJ5" i="9"/>
  <c r="BI5" i="9"/>
  <c r="BH5" i="9"/>
  <c r="BG5" i="9"/>
  <c r="BF5" i="9"/>
  <c r="BE6" i="9"/>
  <c r="BE7" i="9"/>
  <c r="BE8" i="9"/>
  <c r="BE9" i="9"/>
  <c r="BE10" i="9"/>
  <c r="BE11" i="9"/>
  <c r="BE12" i="9"/>
  <c r="BE13" i="9"/>
  <c r="BE14" i="9"/>
  <c r="BE15" i="9"/>
  <c r="BE16" i="9"/>
  <c r="BE17" i="9"/>
  <c r="BE18" i="9"/>
  <c r="BE19" i="9"/>
  <c r="BE20" i="9"/>
  <c r="BE21" i="9"/>
  <c r="BE22" i="9"/>
  <c r="BE23" i="9"/>
  <c r="BE24" i="9"/>
  <c r="BE25" i="9"/>
  <c r="BE26" i="9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43" i="9"/>
  <c r="BE44" i="9"/>
  <c r="BE45" i="9"/>
  <c r="BE46" i="9"/>
  <c r="BE47" i="9"/>
  <c r="BE48" i="9"/>
  <c r="BE49" i="9"/>
  <c r="BE50" i="9"/>
  <c r="BE51" i="9"/>
  <c r="BE52" i="9"/>
  <c r="BE53" i="9"/>
  <c r="BE54" i="9"/>
  <c r="BE55" i="9"/>
  <c r="BE56" i="9"/>
  <c r="BE57" i="9"/>
  <c r="BE58" i="9"/>
  <c r="BE59" i="9"/>
  <c r="BE60" i="9"/>
  <c r="BE61" i="9"/>
  <c r="BE62" i="9"/>
  <c r="BE63" i="9"/>
  <c r="BE64" i="9"/>
  <c r="BE65" i="9"/>
  <c r="BE66" i="9"/>
  <c r="BE67" i="9"/>
  <c r="BE68" i="9"/>
  <c r="BE69" i="9"/>
  <c r="BE70" i="9"/>
  <c r="BE71" i="9"/>
  <c r="BE72" i="9"/>
  <c r="BE73" i="9"/>
  <c r="BE74" i="9"/>
  <c r="BE75" i="9"/>
  <c r="BE76" i="9"/>
  <c r="BE77" i="9"/>
  <c r="BE78" i="9"/>
  <c r="BD6" i="9"/>
  <c r="BD7" i="9"/>
  <c r="BD8" i="9"/>
  <c r="BD9" i="9"/>
  <c r="BD10" i="9"/>
  <c r="BD11" i="9"/>
  <c r="BD12" i="9"/>
  <c r="BD13" i="9"/>
  <c r="BD14" i="9"/>
  <c r="BD15" i="9"/>
  <c r="BD16" i="9"/>
  <c r="BD17" i="9"/>
  <c r="BD18" i="9"/>
  <c r="BD19" i="9"/>
  <c r="BD20" i="9"/>
  <c r="BD21" i="9"/>
  <c r="BD22" i="9"/>
  <c r="BD23" i="9"/>
  <c r="BD24" i="9"/>
  <c r="BD25" i="9"/>
  <c r="BD26" i="9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43" i="9"/>
  <c r="BD44" i="9"/>
  <c r="BD45" i="9"/>
  <c r="BD46" i="9"/>
  <c r="BD47" i="9"/>
  <c r="BD48" i="9"/>
  <c r="BD49" i="9"/>
  <c r="BD50" i="9"/>
  <c r="BD51" i="9"/>
  <c r="BD52" i="9"/>
  <c r="BD53" i="9"/>
  <c r="BD54" i="9"/>
  <c r="BD55" i="9"/>
  <c r="BD56" i="9"/>
  <c r="BD57" i="9"/>
  <c r="BD58" i="9"/>
  <c r="BD59" i="9"/>
  <c r="BD60" i="9"/>
  <c r="BD61" i="9"/>
  <c r="BD62" i="9"/>
  <c r="BD63" i="9"/>
  <c r="BD64" i="9"/>
  <c r="BD65" i="9"/>
  <c r="BD66" i="9"/>
  <c r="BD67" i="9"/>
  <c r="BD68" i="9"/>
  <c r="BD69" i="9"/>
  <c r="BD70" i="9"/>
  <c r="BD71" i="9"/>
  <c r="BD72" i="9"/>
  <c r="BD73" i="9"/>
  <c r="BD74" i="9"/>
  <c r="BD75" i="9"/>
  <c r="BD76" i="9"/>
  <c r="BD77" i="9"/>
  <c r="BD78" i="9"/>
  <c r="BC6" i="9"/>
  <c r="BC7" i="9"/>
  <c r="BC8" i="9"/>
  <c r="BC9" i="9"/>
  <c r="BC10" i="9"/>
  <c r="BC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39" i="9"/>
  <c r="BC40" i="9"/>
  <c r="BC41" i="9"/>
  <c r="BC42" i="9"/>
  <c r="BC43" i="9"/>
  <c r="BC44" i="9"/>
  <c r="BC45" i="9"/>
  <c r="BC46" i="9"/>
  <c r="BC47" i="9"/>
  <c r="BC48" i="9"/>
  <c r="BC49" i="9"/>
  <c r="BC50" i="9"/>
  <c r="BC51" i="9"/>
  <c r="BC52" i="9"/>
  <c r="BC53" i="9"/>
  <c r="BC54" i="9"/>
  <c r="BC55" i="9"/>
  <c r="BC56" i="9"/>
  <c r="BC57" i="9"/>
  <c r="BC58" i="9"/>
  <c r="BC59" i="9"/>
  <c r="BC60" i="9"/>
  <c r="BC61" i="9"/>
  <c r="BC62" i="9"/>
  <c r="BC63" i="9"/>
  <c r="BC64" i="9"/>
  <c r="BC65" i="9"/>
  <c r="BC66" i="9"/>
  <c r="BC67" i="9"/>
  <c r="BC68" i="9"/>
  <c r="BC69" i="9"/>
  <c r="BC70" i="9"/>
  <c r="BC71" i="9"/>
  <c r="BC72" i="9"/>
  <c r="BC73" i="9"/>
  <c r="BC74" i="9"/>
  <c r="BC75" i="9"/>
  <c r="BC76" i="9"/>
  <c r="BC77" i="9"/>
  <c r="BC78" i="9"/>
  <c r="BB6" i="9"/>
  <c r="BB7" i="9"/>
  <c r="BB8" i="9"/>
  <c r="BB9" i="9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BB50" i="9"/>
  <c r="BB51" i="9"/>
  <c r="BB52" i="9"/>
  <c r="BB53" i="9"/>
  <c r="BB54" i="9"/>
  <c r="BB55" i="9"/>
  <c r="BB56" i="9"/>
  <c r="BB57" i="9"/>
  <c r="BB58" i="9"/>
  <c r="BB59" i="9"/>
  <c r="BB60" i="9"/>
  <c r="BB61" i="9"/>
  <c r="BB62" i="9"/>
  <c r="BB63" i="9"/>
  <c r="BB64" i="9"/>
  <c r="BB65" i="9"/>
  <c r="BB66" i="9"/>
  <c r="BB67" i="9"/>
  <c r="BB68" i="9"/>
  <c r="BB69" i="9"/>
  <c r="BB70" i="9"/>
  <c r="BB71" i="9"/>
  <c r="BB72" i="9"/>
  <c r="BB73" i="9"/>
  <c r="BB74" i="9"/>
  <c r="BB75" i="9"/>
  <c r="BB76" i="9"/>
  <c r="BB77" i="9"/>
  <c r="BB78" i="9"/>
  <c r="BA6" i="9"/>
  <c r="BA7" i="9"/>
  <c r="BA8" i="9"/>
  <c r="BA9" i="9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43" i="9"/>
  <c r="BA44" i="9"/>
  <c r="BA45" i="9"/>
  <c r="BA46" i="9"/>
  <c r="BA47" i="9"/>
  <c r="BA48" i="9"/>
  <c r="BA49" i="9"/>
  <c r="BA50" i="9"/>
  <c r="BA51" i="9"/>
  <c r="BA52" i="9"/>
  <c r="BA53" i="9"/>
  <c r="BA54" i="9"/>
  <c r="BA55" i="9"/>
  <c r="BA56" i="9"/>
  <c r="BA57" i="9"/>
  <c r="BA58" i="9"/>
  <c r="BA59" i="9"/>
  <c r="BA60" i="9"/>
  <c r="BA61" i="9"/>
  <c r="BA62" i="9"/>
  <c r="BA63" i="9"/>
  <c r="BA64" i="9"/>
  <c r="BA65" i="9"/>
  <c r="BA66" i="9"/>
  <c r="BA67" i="9"/>
  <c r="BA68" i="9"/>
  <c r="BA69" i="9"/>
  <c r="BA70" i="9"/>
  <c r="BA71" i="9"/>
  <c r="BA72" i="9"/>
  <c r="BA73" i="9"/>
  <c r="BA74" i="9"/>
  <c r="BA75" i="9"/>
  <c r="BA76" i="9"/>
  <c r="BA77" i="9"/>
  <c r="BA78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Z43" i="9"/>
  <c r="AZ44" i="9"/>
  <c r="AZ45" i="9"/>
  <c r="AZ46" i="9"/>
  <c r="AZ47" i="9"/>
  <c r="AZ48" i="9"/>
  <c r="AZ49" i="9"/>
  <c r="AZ50" i="9"/>
  <c r="AZ51" i="9"/>
  <c r="AZ52" i="9"/>
  <c r="AZ53" i="9"/>
  <c r="AZ54" i="9"/>
  <c r="AZ55" i="9"/>
  <c r="AZ56" i="9"/>
  <c r="AZ57" i="9"/>
  <c r="AZ58" i="9"/>
  <c r="AZ59" i="9"/>
  <c r="AZ60" i="9"/>
  <c r="AZ61" i="9"/>
  <c r="AZ62" i="9"/>
  <c r="AZ63" i="9"/>
  <c r="AZ64" i="9"/>
  <c r="AZ65" i="9"/>
  <c r="AZ66" i="9"/>
  <c r="AZ67" i="9"/>
  <c r="AZ68" i="9"/>
  <c r="AZ69" i="9"/>
  <c r="AZ70" i="9"/>
  <c r="AZ71" i="9"/>
  <c r="AZ72" i="9"/>
  <c r="AZ73" i="9"/>
  <c r="AZ74" i="9"/>
  <c r="AZ75" i="9"/>
  <c r="AZ76" i="9"/>
  <c r="AZ77" i="9"/>
  <c r="AZ78" i="9"/>
  <c r="AY6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3" i="9"/>
  <c r="AY34" i="9"/>
  <c r="AY35" i="9"/>
  <c r="AY36" i="9"/>
  <c r="AY37" i="9"/>
  <c r="AY38" i="9"/>
  <c r="AY39" i="9"/>
  <c r="AY40" i="9"/>
  <c r="AY41" i="9"/>
  <c r="AY42" i="9"/>
  <c r="AY43" i="9"/>
  <c r="AY45" i="9"/>
  <c r="AY46" i="9"/>
  <c r="AY47" i="9"/>
  <c r="AY49" i="9"/>
  <c r="AY50" i="9"/>
  <c r="AY51" i="9"/>
  <c r="AY52" i="9"/>
  <c r="AY53" i="9"/>
  <c r="AY54" i="9"/>
  <c r="AY55" i="9"/>
  <c r="AY56" i="9"/>
  <c r="AY57" i="9"/>
  <c r="AY58" i="9"/>
  <c r="AY59" i="9"/>
  <c r="AY60" i="9"/>
  <c r="AY61" i="9"/>
  <c r="AY62" i="9"/>
  <c r="AY63" i="9"/>
  <c r="AY64" i="9"/>
  <c r="AY65" i="9"/>
  <c r="AY66" i="9"/>
  <c r="AY67" i="9"/>
  <c r="AY68" i="9"/>
  <c r="AY69" i="9"/>
  <c r="AY70" i="9"/>
  <c r="AY71" i="9"/>
  <c r="AY72" i="9"/>
  <c r="AY73" i="9"/>
  <c r="AY74" i="9"/>
  <c r="AY75" i="9"/>
  <c r="AY76" i="9"/>
  <c r="AY77" i="9"/>
  <c r="AY78" i="9"/>
  <c r="BE5" i="9"/>
  <c r="BD5" i="9"/>
  <c r="BC5" i="9"/>
  <c r="BB5" i="9"/>
  <c r="BA5" i="9"/>
  <c r="AZ5" i="9"/>
  <c r="AR6" i="9"/>
  <c r="AR7" i="9"/>
  <c r="AR8" i="9"/>
  <c r="AR9" i="9"/>
  <c r="AR10" i="9"/>
  <c r="AR11" i="9"/>
  <c r="AR12" i="9"/>
  <c r="AR13" i="9"/>
  <c r="AR14" i="9"/>
  <c r="AR15" i="9"/>
  <c r="AR16" i="9"/>
  <c r="AR17" i="9"/>
  <c r="AR18" i="9"/>
  <c r="AR19" i="9"/>
  <c r="AR20" i="9"/>
  <c r="AR21" i="9"/>
  <c r="AR22" i="9"/>
  <c r="AR23" i="9"/>
  <c r="AR24" i="9"/>
  <c r="AR25" i="9"/>
  <c r="AR26" i="9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43" i="9"/>
  <c r="AR44" i="9"/>
  <c r="AR45" i="9"/>
  <c r="AR46" i="9"/>
  <c r="AR47" i="9"/>
  <c r="AR48" i="9"/>
  <c r="AR49" i="9"/>
  <c r="AR50" i="9"/>
  <c r="AR51" i="9"/>
  <c r="AR52" i="9"/>
  <c r="AR53" i="9"/>
  <c r="AR54" i="9"/>
  <c r="AR55" i="9"/>
  <c r="AR56" i="9"/>
  <c r="AR57" i="9"/>
  <c r="AR58" i="9"/>
  <c r="AR59" i="9"/>
  <c r="AR60" i="9"/>
  <c r="AR61" i="9"/>
  <c r="AR62" i="9"/>
  <c r="AR63" i="9"/>
  <c r="AR64" i="9"/>
  <c r="AR65" i="9"/>
  <c r="AR66" i="9"/>
  <c r="AR67" i="9"/>
  <c r="AR68" i="9"/>
  <c r="AR69" i="9"/>
  <c r="AR70" i="9"/>
  <c r="AR71" i="9"/>
  <c r="AR72" i="9"/>
  <c r="AR73" i="9"/>
  <c r="AR74" i="9"/>
  <c r="AR75" i="9"/>
  <c r="AR76" i="9"/>
  <c r="AR77" i="9"/>
  <c r="AR78" i="9"/>
  <c r="AS6" i="9"/>
  <c r="AS7" i="9"/>
  <c r="AS8" i="9"/>
  <c r="AS9" i="9"/>
  <c r="AS10" i="9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43" i="9"/>
  <c r="AS44" i="9"/>
  <c r="AS45" i="9"/>
  <c r="AS46" i="9"/>
  <c r="AS47" i="9"/>
  <c r="AS48" i="9"/>
  <c r="AS49" i="9"/>
  <c r="AS50" i="9"/>
  <c r="AS51" i="9"/>
  <c r="AS52" i="9"/>
  <c r="AS53" i="9"/>
  <c r="AS54" i="9"/>
  <c r="AS55" i="9"/>
  <c r="AS56" i="9"/>
  <c r="AS57" i="9"/>
  <c r="AS58" i="9"/>
  <c r="AS59" i="9"/>
  <c r="AS60" i="9"/>
  <c r="AS61" i="9"/>
  <c r="AS62" i="9"/>
  <c r="AS63" i="9"/>
  <c r="AS64" i="9"/>
  <c r="AS65" i="9"/>
  <c r="AS66" i="9"/>
  <c r="AS67" i="9"/>
  <c r="AS68" i="9"/>
  <c r="AS69" i="9"/>
  <c r="AS70" i="9"/>
  <c r="AS71" i="9"/>
  <c r="AS72" i="9"/>
  <c r="AS73" i="9"/>
  <c r="AS74" i="9"/>
  <c r="AS75" i="9"/>
  <c r="AS76" i="9"/>
  <c r="AS77" i="9"/>
  <c r="AS78" i="9"/>
  <c r="AT6" i="9"/>
  <c r="AT7" i="9"/>
  <c r="AT8" i="9"/>
  <c r="AT9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T23" i="9"/>
  <c r="AT24" i="9"/>
  <c r="AT25" i="9"/>
  <c r="AT26" i="9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43" i="9"/>
  <c r="AT44" i="9"/>
  <c r="AT45" i="9"/>
  <c r="AT46" i="9"/>
  <c r="AT47" i="9"/>
  <c r="AT48" i="9"/>
  <c r="AT49" i="9"/>
  <c r="AT50" i="9"/>
  <c r="AT51" i="9"/>
  <c r="AT52" i="9"/>
  <c r="AT53" i="9"/>
  <c r="AT54" i="9"/>
  <c r="AT55" i="9"/>
  <c r="AT56" i="9"/>
  <c r="AT57" i="9"/>
  <c r="AT58" i="9"/>
  <c r="AT59" i="9"/>
  <c r="AT60" i="9"/>
  <c r="AT61" i="9"/>
  <c r="AT62" i="9"/>
  <c r="AT63" i="9"/>
  <c r="AT64" i="9"/>
  <c r="AT65" i="9"/>
  <c r="AT66" i="9"/>
  <c r="AT67" i="9"/>
  <c r="AT68" i="9"/>
  <c r="AT69" i="9"/>
  <c r="AT70" i="9"/>
  <c r="AT71" i="9"/>
  <c r="AT72" i="9"/>
  <c r="AT73" i="9"/>
  <c r="AT74" i="9"/>
  <c r="AT75" i="9"/>
  <c r="AT76" i="9"/>
  <c r="AT77" i="9"/>
  <c r="AT78" i="9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26" i="9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43" i="9"/>
  <c r="AU44" i="9"/>
  <c r="AU45" i="9"/>
  <c r="AU46" i="9"/>
  <c r="AU47" i="9"/>
  <c r="AU48" i="9"/>
  <c r="AU49" i="9"/>
  <c r="AU50" i="9"/>
  <c r="AU51" i="9"/>
  <c r="AU52" i="9"/>
  <c r="AU53" i="9"/>
  <c r="AU54" i="9"/>
  <c r="AU55" i="9"/>
  <c r="AU56" i="9"/>
  <c r="AU57" i="9"/>
  <c r="AU58" i="9"/>
  <c r="AU59" i="9"/>
  <c r="AU60" i="9"/>
  <c r="AU61" i="9"/>
  <c r="AU62" i="9"/>
  <c r="AU63" i="9"/>
  <c r="AU64" i="9"/>
  <c r="AU65" i="9"/>
  <c r="AU66" i="9"/>
  <c r="AU67" i="9"/>
  <c r="AU68" i="9"/>
  <c r="AU69" i="9"/>
  <c r="AU70" i="9"/>
  <c r="AU71" i="9"/>
  <c r="AU72" i="9"/>
  <c r="AU73" i="9"/>
  <c r="AU74" i="9"/>
  <c r="AU75" i="9"/>
  <c r="AU76" i="9"/>
  <c r="AU77" i="9"/>
  <c r="AU78" i="9"/>
  <c r="AV6" i="9"/>
  <c r="AV7" i="9"/>
  <c r="AV8" i="9"/>
  <c r="AV9" i="9"/>
  <c r="AV10" i="9"/>
  <c r="AV11" i="9"/>
  <c r="AV12" i="9"/>
  <c r="AV13" i="9"/>
  <c r="AV14" i="9"/>
  <c r="AV15" i="9"/>
  <c r="AV16" i="9"/>
  <c r="AV17" i="9"/>
  <c r="AV18" i="9"/>
  <c r="AV19" i="9"/>
  <c r="AV20" i="9"/>
  <c r="AV21" i="9"/>
  <c r="AV22" i="9"/>
  <c r="AV23" i="9"/>
  <c r="AV24" i="9"/>
  <c r="AV25" i="9"/>
  <c r="AV26" i="9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43" i="9"/>
  <c r="AV44" i="9"/>
  <c r="AV45" i="9"/>
  <c r="AV46" i="9"/>
  <c r="AV47" i="9"/>
  <c r="AV48" i="9"/>
  <c r="AV49" i="9"/>
  <c r="AV50" i="9"/>
  <c r="AV51" i="9"/>
  <c r="AV52" i="9"/>
  <c r="AV53" i="9"/>
  <c r="AV54" i="9"/>
  <c r="AV55" i="9"/>
  <c r="AV56" i="9"/>
  <c r="AV57" i="9"/>
  <c r="AV58" i="9"/>
  <c r="AV59" i="9"/>
  <c r="AV60" i="9"/>
  <c r="AV61" i="9"/>
  <c r="AV62" i="9"/>
  <c r="AV63" i="9"/>
  <c r="AV64" i="9"/>
  <c r="AV65" i="9"/>
  <c r="AV66" i="9"/>
  <c r="AV67" i="9"/>
  <c r="AV68" i="9"/>
  <c r="AV69" i="9"/>
  <c r="AV70" i="9"/>
  <c r="AV71" i="9"/>
  <c r="AV72" i="9"/>
  <c r="AV73" i="9"/>
  <c r="AV74" i="9"/>
  <c r="AV75" i="9"/>
  <c r="AV76" i="9"/>
  <c r="AV77" i="9"/>
  <c r="AV78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W19" i="9"/>
  <c r="AW20" i="9"/>
  <c r="AW21" i="9"/>
  <c r="AW22" i="9"/>
  <c r="AW23" i="9"/>
  <c r="AW24" i="9"/>
  <c r="AW25" i="9"/>
  <c r="AW26" i="9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43" i="9"/>
  <c r="AW44" i="9"/>
  <c r="AW45" i="9"/>
  <c r="AW46" i="9"/>
  <c r="AW47" i="9"/>
  <c r="AW48" i="9"/>
  <c r="AW49" i="9"/>
  <c r="AW50" i="9"/>
  <c r="AW51" i="9"/>
  <c r="AW52" i="9"/>
  <c r="AW53" i="9"/>
  <c r="AW54" i="9"/>
  <c r="AW55" i="9"/>
  <c r="AW56" i="9"/>
  <c r="AW57" i="9"/>
  <c r="AW58" i="9"/>
  <c r="AW59" i="9"/>
  <c r="AW60" i="9"/>
  <c r="AW61" i="9"/>
  <c r="AW62" i="9"/>
  <c r="AW63" i="9"/>
  <c r="AW64" i="9"/>
  <c r="AW65" i="9"/>
  <c r="AW66" i="9"/>
  <c r="AW67" i="9"/>
  <c r="AW68" i="9"/>
  <c r="AW69" i="9"/>
  <c r="AW70" i="9"/>
  <c r="AW71" i="9"/>
  <c r="AW72" i="9"/>
  <c r="AW73" i="9"/>
  <c r="AW74" i="9"/>
  <c r="AW75" i="9"/>
  <c r="AW76" i="9"/>
  <c r="AW77" i="9"/>
  <c r="AW78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43" i="9"/>
  <c r="AX44" i="9"/>
  <c r="AX45" i="9"/>
  <c r="AX46" i="9"/>
  <c r="AX47" i="9"/>
  <c r="AX48" i="9"/>
  <c r="AX49" i="9"/>
  <c r="AX50" i="9"/>
  <c r="AX51" i="9"/>
  <c r="AX52" i="9"/>
  <c r="AX53" i="9"/>
  <c r="AX54" i="9"/>
  <c r="AX55" i="9"/>
  <c r="AX56" i="9"/>
  <c r="AX57" i="9"/>
  <c r="AX58" i="9"/>
  <c r="AX59" i="9"/>
  <c r="AX60" i="9"/>
  <c r="AX61" i="9"/>
  <c r="AX62" i="9"/>
  <c r="AX63" i="9"/>
  <c r="AX64" i="9"/>
  <c r="AX65" i="9"/>
  <c r="AX66" i="9"/>
  <c r="AX67" i="9"/>
  <c r="AX68" i="9"/>
  <c r="AX69" i="9"/>
  <c r="AX70" i="9"/>
  <c r="AX71" i="9"/>
  <c r="AX72" i="9"/>
  <c r="AX73" i="9"/>
  <c r="AX74" i="9"/>
  <c r="AX75" i="9"/>
  <c r="AX76" i="9"/>
  <c r="AX77" i="9"/>
  <c r="AX78" i="9"/>
  <c r="AX5" i="9"/>
  <c r="AW5" i="9"/>
  <c r="AV5" i="9"/>
  <c r="AU5" i="9"/>
  <c r="AT5" i="9"/>
  <c r="AS5" i="9"/>
  <c r="AR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43" i="9"/>
  <c r="AK44" i="9"/>
  <c r="AK45" i="9"/>
  <c r="AK46" i="9"/>
  <c r="AK47" i="9"/>
  <c r="AK48" i="9"/>
  <c r="AK49" i="9"/>
  <c r="AK50" i="9"/>
  <c r="AK51" i="9"/>
  <c r="AK52" i="9"/>
  <c r="AK53" i="9"/>
  <c r="AK54" i="9"/>
  <c r="AK55" i="9"/>
  <c r="AK56" i="9"/>
  <c r="AK57" i="9"/>
  <c r="AK58" i="9"/>
  <c r="AK59" i="9"/>
  <c r="AK60" i="9"/>
  <c r="AK61" i="9"/>
  <c r="AK62" i="9"/>
  <c r="AK63" i="9"/>
  <c r="AK64" i="9"/>
  <c r="AK65" i="9"/>
  <c r="AK66" i="9"/>
  <c r="AK67" i="9"/>
  <c r="AK68" i="9"/>
  <c r="AK69" i="9"/>
  <c r="AK70" i="9"/>
  <c r="AK71" i="9"/>
  <c r="AK72" i="9"/>
  <c r="AK73" i="9"/>
  <c r="AK74" i="9"/>
  <c r="AK75" i="9"/>
  <c r="AK76" i="9"/>
  <c r="AK77" i="9"/>
  <c r="AK78" i="9"/>
  <c r="AL26" i="9"/>
  <c r="AL30" i="9"/>
  <c r="AL35" i="9"/>
  <c r="AL37" i="9"/>
  <c r="AL40" i="9"/>
  <c r="AL41" i="9"/>
  <c r="AL42" i="9"/>
  <c r="AL44" i="9"/>
  <c r="AL45" i="9"/>
  <c r="AL46" i="9"/>
  <c r="AL47" i="9"/>
  <c r="AL48" i="9"/>
  <c r="AL49" i="9"/>
  <c r="AL58" i="9"/>
  <c r="AL59" i="9"/>
  <c r="AL62" i="9"/>
  <c r="AL63" i="9"/>
  <c r="AL65" i="9"/>
  <c r="AL68" i="9"/>
  <c r="AL69" i="9"/>
  <c r="AL70" i="9"/>
  <c r="AL72" i="9"/>
  <c r="AL73" i="9"/>
  <c r="AL74" i="9"/>
  <c r="AL75" i="9"/>
  <c r="AL76" i="9"/>
  <c r="AL77" i="9"/>
  <c r="AL78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M62" i="9"/>
  <c r="AM63" i="9"/>
  <c r="AM64" i="9"/>
  <c r="AM65" i="9"/>
  <c r="AM66" i="9"/>
  <c r="AM67" i="9"/>
  <c r="AM68" i="9"/>
  <c r="AM69" i="9"/>
  <c r="AM70" i="9"/>
  <c r="AM71" i="9"/>
  <c r="AM72" i="9"/>
  <c r="AM73" i="9"/>
  <c r="AM74" i="9"/>
  <c r="AM75" i="9"/>
  <c r="AM76" i="9"/>
  <c r="AM77" i="9"/>
  <c r="AM78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43" i="9"/>
  <c r="AN44" i="9"/>
  <c r="AN45" i="9"/>
  <c r="AN46" i="9"/>
  <c r="AN47" i="9"/>
  <c r="AN48" i="9"/>
  <c r="AN49" i="9"/>
  <c r="AN50" i="9"/>
  <c r="AN51" i="9"/>
  <c r="AN52" i="9"/>
  <c r="AN53" i="9"/>
  <c r="AN54" i="9"/>
  <c r="AN55" i="9"/>
  <c r="AN56" i="9"/>
  <c r="AN57" i="9"/>
  <c r="AN58" i="9"/>
  <c r="AN59" i="9"/>
  <c r="AN60" i="9"/>
  <c r="AN61" i="9"/>
  <c r="AN62" i="9"/>
  <c r="AN63" i="9"/>
  <c r="AN64" i="9"/>
  <c r="AN65" i="9"/>
  <c r="AN66" i="9"/>
  <c r="AN67" i="9"/>
  <c r="AN68" i="9"/>
  <c r="AN69" i="9"/>
  <c r="AN70" i="9"/>
  <c r="AN71" i="9"/>
  <c r="AN72" i="9"/>
  <c r="AN73" i="9"/>
  <c r="AN74" i="9"/>
  <c r="AN75" i="9"/>
  <c r="AN76" i="9"/>
  <c r="AN77" i="9"/>
  <c r="AN78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43" i="9"/>
  <c r="AO44" i="9"/>
  <c r="AO45" i="9"/>
  <c r="AO46" i="9"/>
  <c r="AO47" i="9"/>
  <c r="AO48" i="9"/>
  <c r="AO49" i="9"/>
  <c r="AO50" i="9"/>
  <c r="AO51" i="9"/>
  <c r="AO52" i="9"/>
  <c r="AO53" i="9"/>
  <c r="AO54" i="9"/>
  <c r="AO55" i="9"/>
  <c r="AO56" i="9"/>
  <c r="AO57" i="9"/>
  <c r="AO58" i="9"/>
  <c r="AO59" i="9"/>
  <c r="AO60" i="9"/>
  <c r="AO61" i="9"/>
  <c r="AO62" i="9"/>
  <c r="AO63" i="9"/>
  <c r="AO64" i="9"/>
  <c r="AO65" i="9"/>
  <c r="AO66" i="9"/>
  <c r="AO67" i="9"/>
  <c r="AO68" i="9"/>
  <c r="AO69" i="9"/>
  <c r="AO70" i="9"/>
  <c r="AO71" i="9"/>
  <c r="AO72" i="9"/>
  <c r="AO73" i="9"/>
  <c r="AO74" i="9"/>
  <c r="AO75" i="9"/>
  <c r="AO76" i="9"/>
  <c r="AO77" i="9"/>
  <c r="AO78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43" i="9"/>
  <c r="AP44" i="9"/>
  <c r="AP45" i="9"/>
  <c r="AP46" i="9"/>
  <c r="AP47" i="9"/>
  <c r="AP48" i="9"/>
  <c r="AP49" i="9"/>
  <c r="AP50" i="9"/>
  <c r="AP51" i="9"/>
  <c r="AP52" i="9"/>
  <c r="AP53" i="9"/>
  <c r="AP54" i="9"/>
  <c r="AP55" i="9"/>
  <c r="AP56" i="9"/>
  <c r="AP57" i="9"/>
  <c r="AP58" i="9"/>
  <c r="AP59" i="9"/>
  <c r="AP60" i="9"/>
  <c r="AP61" i="9"/>
  <c r="AP62" i="9"/>
  <c r="AP63" i="9"/>
  <c r="AP64" i="9"/>
  <c r="AP65" i="9"/>
  <c r="AP66" i="9"/>
  <c r="AP67" i="9"/>
  <c r="AP68" i="9"/>
  <c r="AP69" i="9"/>
  <c r="AP70" i="9"/>
  <c r="AP71" i="9"/>
  <c r="AP72" i="9"/>
  <c r="AP73" i="9"/>
  <c r="AP74" i="9"/>
  <c r="AP75" i="9"/>
  <c r="AP76" i="9"/>
  <c r="AP77" i="9"/>
  <c r="AP78" i="9"/>
  <c r="AQ6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43" i="9"/>
  <c r="AQ44" i="9"/>
  <c r="AQ45" i="9"/>
  <c r="AQ46" i="9"/>
  <c r="AQ47" i="9"/>
  <c r="AQ48" i="9"/>
  <c r="AQ49" i="9"/>
  <c r="AQ50" i="9"/>
  <c r="AQ51" i="9"/>
  <c r="AQ52" i="9"/>
  <c r="AQ53" i="9"/>
  <c r="AQ54" i="9"/>
  <c r="AQ55" i="9"/>
  <c r="AQ56" i="9"/>
  <c r="AQ57" i="9"/>
  <c r="AQ58" i="9"/>
  <c r="AQ59" i="9"/>
  <c r="AQ60" i="9"/>
  <c r="AQ61" i="9"/>
  <c r="AQ62" i="9"/>
  <c r="AQ63" i="9"/>
  <c r="AQ64" i="9"/>
  <c r="AQ65" i="9"/>
  <c r="AQ66" i="9"/>
  <c r="AQ67" i="9"/>
  <c r="AQ68" i="9"/>
  <c r="AQ69" i="9"/>
  <c r="AQ70" i="9"/>
  <c r="AQ71" i="9"/>
  <c r="AQ72" i="9"/>
  <c r="AQ73" i="9"/>
  <c r="AQ74" i="9"/>
  <c r="AQ75" i="9"/>
  <c r="AQ76" i="9"/>
  <c r="AQ77" i="9"/>
  <c r="AQ78" i="9"/>
  <c r="AQ5" i="9"/>
  <c r="AP5" i="9"/>
  <c r="AO5" i="9"/>
  <c r="AN5" i="9"/>
  <c r="AM5" i="9"/>
  <c r="AJ30" i="9"/>
  <c r="AJ35" i="9"/>
  <c r="AJ37" i="9"/>
  <c r="AJ41" i="9"/>
  <c r="AJ42" i="9"/>
  <c r="AJ45" i="9"/>
  <c r="AJ46" i="9"/>
  <c r="AJ47" i="9"/>
  <c r="AJ49" i="9"/>
  <c r="AJ58" i="9"/>
  <c r="AJ59" i="9"/>
  <c r="AJ61" i="9"/>
  <c r="AJ70" i="9"/>
  <c r="AJ71" i="9"/>
  <c r="AJ72" i="9"/>
  <c r="AJ73" i="9"/>
  <c r="AJ74" i="9"/>
  <c r="AJ75" i="9"/>
  <c r="AJ76" i="9"/>
  <c r="AJ77" i="9"/>
  <c r="AJ78" i="9"/>
  <c r="AI24" i="9"/>
  <c r="AI25" i="9"/>
  <c r="AI26" i="9"/>
  <c r="AI30" i="9"/>
  <c r="AI35" i="9"/>
  <c r="AI37" i="9"/>
  <c r="AI41" i="9"/>
  <c r="AI42" i="9"/>
  <c r="AI43" i="9"/>
  <c r="AI45" i="9"/>
  <c r="AI46" i="9"/>
  <c r="AI47" i="9"/>
  <c r="AI49" i="9"/>
  <c r="AI55" i="9"/>
  <c r="AI56" i="9"/>
  <c r="AI58" i="9"/>
  <c r="AI59" i="9"/>
  <c r="AI61" i="9"/>
  <c r="AI64" i="9"/>
  <c r="AI65" i="9"/>
  <c r="AI70" i="9"/>
  <c r="AI71" i="9"/>
  <c r="AI72" i="9"/>
  <c r="AI73" i="9"/>
  <c r="AI74" i="9"/>
  <c r="AI75" i="9"/>
  <c r="AI76" i="9"/>
  <c r="AI77" i="9"/>
  <c r="AI78" i="9"/>
  <c r="AH11" i="9"/>
  <c r="AH17" i="9"/>
  <c r="AH24" i="9"/>
  <c r="AH25" i="9"/>
  <c r="AH26" i="9"/>
  <c r="AH29" i="9"/>
  <c r="AH30" i="9"/>
  <c r="AH31" i="9"/>
  <c r="AH35" i="9"/>
  <c r="AH36" i="9"/>
  <c r="AH37" i="9"/>
  <c r="AH38" i="9"/>
  <c r="AH39" i="9"/>
  <c r="AH40" i="9"/>
  <c r="AH41" i="9"/>
  <c r="AH42" i="9"/>
  <c r="AH43" i="9"/>
  <c r="AH45" i="9"/>
  <c r="AH46" i="9"/>
  <c r="AH47" i="9"/>
  <c r="AH49" i="9"/>
  <c r="AH55" i="9"/>
  <c r="AH56" i="9"/>
  <c r="AH58" i="9"/>
  <c r="AH59" i="9"/>
  <c r="AH61" i="9"/>
  <c r="AH64" i="9"/>
  <c r="AH65" i="9"/>
  <c r="AH68" i="9"/>
  <c r="AH70" i="9"/>
  <c r="AH71" i="9"/>
  <c r="AH72" i="9"/>
  <c r="AH73" i="9"/>
  <c r="AH74" i="9"/>
  <c r="AH75" i="9"/>
  <c r="AH76" i="9"/>
  <c r="AH77" i="9"/>
  <c r="AH78" i="9"/>
  <c r="AG24" i="9"/>
  <c r="AG25" i="9"/>
  <c r="AG26" i="9"/>
  <c r="AG30" i="9"/>
  <c r="AG35" i="9"/>
  <c r="AG37" i="9"/>
  <c r="AG41" i="9"/>
  <c r="AG42" i="9"/>
  <c r="AG43" i="9"/>
  <c r="AG45" i="9"/>
  <c r="AG46" i="9"/>
  <c r="AG47" i="9"/>
  <c r="AG48" i="9"/>
  <c r="AG49" i="9"/>
  <c r="AG51" i="9"/>
  <c r="AG54" i="9"/>
  <c r="AG55" i="9"/>
  <c r="AG56" i="9"/>
  <c r="AG58" i="9"/>
  <c r="AG59" i="9"/>
  <c r="AG60" i="9"/>
  <c r="AG61" i="9"/>
  <c r="AG64" i="9"/>
  <c r="AG65" i="9"/>
  <c r="AG66" i="9"/>
  <c r="AG67" i="9"/>
  <c r="AG70" i="9"/>
  <c r="AG71" i="9"/>
  <c r="AG72" i="9"/>
  <c r="AG73" i="9"/>
  <c r="AG74" i="9"/>
  <c r="AG75" i="9"/>
  <c r="AG76" i="9"/>
  <c r="AG77" i="9"/>
  <c r="AG78" i="9"/>
  <c r="AF30" i="9"/>
  <c r="AF33" i="9"/>
  <c r="AF35" i="9"/>
  <c r="AF37" i="9"/>
  <c r="AF40" i="9"/>
  <c r="AF41" i="9"/>
  <c r="AF42" i="9"/>
  <c r="AF45" i="9"/>
  <c r="AF46" i="9"/>
  <c r="AF47" i="9"/>
  <c r="AF49" i="9"/>
  <c r="AF52" i="9"/>
  <c r="AF58" i="9"/>
  <c r="AF59" i="9"/>
  <c r="AF61" i="9"/>
  <c r="AF62" i="9"/>
  <c r="AF63" i="9"/>
  <c r="AF66" i="9"/>
  <c r="AF67" i="9"/>
  <c r="AF68" i="9"/>
  <c r="AF70" i="9"/>
  <c r="AF71" i="9"/>
  <c r="AF72" i="9"/>
  <c r="AF73" i="9"/>
  <c r="AF74" i="9"/>
  <c r="AF75" i="9"/>
  <c r="AF76" i="9"/>
  <c r="AF77" i="9"/>
  <c r="AF78" i="9"/>
  <c r="AE30" i="9"/>
  <c r="AE33" i="9"/>
  <c r="AE35" i="9"/>
  <c r="AE37" i="9"/>
  <c r="AE40" i="9"/>
  <c r="AE41" i="9"/>
  <c r="AE42" i="9"/>
  <c r="AE44" i="9"/>
  <c r="AE45" i="9"/>
  <c r="AE46" i="9"/>
  <c r="AE47" i="9"/>
  <c r="AE48" i="9"/>
  <c r="AE49" i="9"/>
  <c r="AE58" i="9"/>
  <c r="AE59" i="9"/>
  <c r="AE61" i="9"/>
  <c r="AE62" i="9"/>
  <c r="AE63" i="9"/>
  <c r="AE66" i="9"/>
  <c r="AE67" i="9"/>
  <c r="AE68" i="9"/>
  <c r="AE70" i="9"/>
  <c r="AE71" i="9"/>
  <c r="AE72" i="9"/>
  <c r="AE73" i="9"/>
  <c r="AE74" i="9"/>
  <c r="AE75" i="9"/>
  <c r="AE76" i="9"/>
  <c r="AE77" i="9"/>
  <c r="AE78" i="9"/>
  <c r="AD6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5" i="9"/>
  <c r="AD46" i="9"/>
  <c r="AD47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72" i="9"/>
  <c r="W73" i="9"/>
  <c r="W74" i="9"/>
  <c r="W75" i="9"/>
  <c r="W76" i="9"/>
  <c r="W77" i="9"/>
  <c r="W78" i="9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45" i="9"/>
  <c r="X46" i="9"/>
  <c r="X47" i="9"/>
  <c r="X48" i="9"/>
  <c r="X49" i="9"/>
  <c r="X50" i="9"/>
  <c r="X51" i="9"/>
  <c r="X52" i="9"/>
  <c r="X53" i="9"/>
  <c r="X54" i="9"/>
  <c r="X55" i="9"/>
  <c r="X56" i="9"/>
  <c r="X57" i="9"/>
  <c r="X58" i="9"/>
  <c r="X59" i="9"/>
  <c r="X60" i="9"/>
  <c r="X61" i="9"/>
  <c r="X62" i="9"/>
  <c r="X63" i="9"/>
  <c r="X64" i="9"/>
  <c r="X65" i="9"/>
  <c r="X66" i="9"/>
  <c r="X67" i="9"/>
  <c r="X68" i="9"/>
  <c r="X69" i="9"/>
  <c r="X70" i="9"/>
  <c r="X71" i="9"/>
  <c r="X72" i="9"/>
  <c r="X73" i="9"/>
  <c r="X74" i="9"/>
  <c r="X75" i="9"/>
  <c r="X76" i="9"/>
  <c r="X77" i="9"/>
  <c r="X78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AC53" i="9"/>
  <c r="AC54" i="9"/>
  <c r="AC55" i="9"/>
  <c r="AC56" i="9"/>
  <c r="AC57" i="9"/>
  <c r="AC58" i="9"/>
  <c r="AC59" i="9"/>
  <c r="AC60" i="9"/>
  <c r="AC61" i="9"/>
  <c r="AC62" i="9"/>
  <c r="AC63" i="9"/>
  <c r="AC64" i="9"/>
  <c r="AC65" i="9"/>
  <c r="AC66" i="9"/>
  <c r="AC67" i="9"/>
  <c r="AC68" i="9"/>
  <c r="AC69" i="9"/>
  <c r="AC70" i="9"/>
  <c r="AC71" i="9"/>
  <c r="AC72" i="9"/>
  <c r="AC73" i="9"/>
  <c r="AC74" i="9"/>
  <c r="AC75" i="9"/>
  <c r="AC76" i="9"/>
  <c r="AC77" i="9"/>
  <c r="AC78" i="9"/>
  <c r="AC5" i="9"/>
  <c r="AB5" i="9"/>
  <c r="AA5" i="9"/>
  <c r="Z5" i="9"/>
  <c r="Y5" i="9"/>
  <c r="X5" i="9"/>
  <c r="W5" i="9"/>
  <c r="P6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Q27" i="9"/>
  <c r="Q30" i="9"/>
  <c r="Q36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R27" i="9"/>
  <c r="R30" i="9"/>
  <c r="R36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S11" i="9"/>
  <c r="S17" i="9"/>
  <c r="S24" i="9"/>
  <c r="S25" i="9"/>
  <c r="S26" i="9"/>
  <c r="S27" i="9"/>
  <c r="S30" i="9"/>
  <c r="S32" i="9"/>
  <c r="S34" i="9"/>
  <c r="S35" i="9"/>
  <c r="S36" i="9"/>
  <c r="S37" i="9"/>
  <c r="S38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T22" i="9"/>
  <c r="T24" i="9"/>
  <c r="T25" i="9"/>
  <c r="T26" i="9"/>
  <c r="T28" i="9"/>
  <c r="T29" i="9"/>
  <c r="T30" i="9"/>
  <c r="T31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U24" i="9"/>
  <c r="U25" i="9"/>
  <c r="U26" i="9"/>
  <c r="U30" i="9"/>
  <c r="U38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V30" i="9"/>
  <c r="V41" i="9"/>
  <c r="V42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O5" i="9"/>
  <c r="N5" i="9"/>
  <c r="M5" i="9"/>
  <c r="L5" i="9"/>
  <c r="K5" i="9"/>
  <c r="J5" i="9"/>
  <c r="I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5" i="9"/>
  <c r="G5" i="9"/>
  <c r="F5" i="9"/>
  <c r="E5" i="9"/>
  <c r="D5" i="9"/>
  <c r="C5" i="9"/>
  <c r="B5" i="9"/>
  <c r="AY48" i="1" l="1"/>
  <c r="AY44" i="1"/>
  <c r="AY32" i="1"/>
  <c r="AY7" i="1"/>
  <c r="AY5" i="1"/>
  <c r="AL5" i="1"/>
  <c r="AL71" i="1"/>
  <c r="AL67" i="1"/>
  <c r="AL66" i="1"/>
  <c r="AL64" i="1"/>
  <c r="AL61" i="1"/>
  <c r="AL60" i="1"/>
  <c r="AL57" i="1"/>
  <c r="AL56" i="1"/>
  <c r="AL55" i="1"/>
  <c r="AL54" i="1"/>
  <c r="AL53" i="1"/>
  <c r="AL52" i="1"/>
  <c r="AL51" i="1"/>
  <c r="AL50" i="1"/>
  <c r="AL43" i="1"/>
  <c r="AL39" i="1"/>
  <c r="AL38" i="1"/>
  <c r="AL36" i="1"/>
  <c r="AL34" i="1"/>
  <c r="AL33" i="1"/>
  <c r="AL32" i="1"/>
  <c r="AL31" i="1"/>
  <c r="AL29" i="1"/>
  <c r="AL28" i="1"/>
  <c r="AL27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K5" i="1"/>
  <c r="AJ69" i="1"/>
  <c r="AJ68" i="1"/>
  <c r="AJ67" i="1"/>
  <c r="AJ66" i="1"/>
  <c r="AJ65" i="1"/>
  <c r="AJ64" i="1"/>
  <c r="AJ63" i="1"/>
  <c r="AJ62" i="1"/>
  <c r="AJ60" i="1"/>
  <c r="AJ57" i="1"/>
  <c r="AJ56" i="1"/>
  <c r="AJ55" i="1"/>
  <c r="AJ54" i="1"/>
  <c r="AJ53" i="1"/>
  <c r="AJ52" i="1"/>
  <c r="AJ51" i="1"/>
  <c r="AJ50" i="1"/>
  <c r="AJ48" i="1"/>
  <c r="AJ44" i="1"/>
  <c r="AJ43" i="1"/>
  <c r="AJ40" i="1"/>
  <c r="AJ39" i="1"/>
  <c r="AJ38" i="1"/>
  <c r="AJ36" i="1"/>
  <c r="AJ34" i="1"/>
  <c r="AJ33" i="1"/>
  <c r="AJ32" i="1"/>
  <c r="AJ31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I69" i="1"/>
  <c r="AI68" i="1"/>
  <c r="AI67" i="1"/>
  <c r="AI66" i="1"/>
  <c r="AI63" i="1"/>
  <c r="AI62" i="1"/>
  <c r="AI60" i="1"/>
  <c r="AI57" i="1"/>
  <c r="AI54" i="1"/>
  <c r="AI53" i="1"/>
  <c r="AI52" i="1"/>
  <c r="AI51" i="1"/>
  <c r="AI50" i="1"/>
  <c r="AI48" i="1"/>
  <c r="AI44" i="1"/>
  <c r="AI40" i="1"/>
  <c r="AI39" i="1"/>
  <c r="AI38" i="1"/>
  <c r="AI36" i="1"/>
  <c r="AI34" i="1"/>
  <c r="AI33" i="1"/>
  <c r="AI32" i="1"/>
  <c r="AI31" i="1"/>
  <c r="AI29" i="1"/>
  <c r="AI28" i="1"/>
  <c r="AI27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H69" i="1"/>
  <c r="AH67" i="1"/>
  <c r="AH66" i="1"/>
  <c r="AH63" i="1"/>
  <c r="AH62" i="1"/>
  <c r="AH60" i="1"/>
  <c r="AH57" i="1"/>
  <c r="AH54" i="1"/>
  <c r="AH53" i="1"/>
  <c r="AH52" i="1"/>
  <c r="AH51" i="1"/>
  <c r="AH50" i="1"/>
  <c r="AH48" i="1"/>
  <c r="AH44" i="1"/>
  <c r="AH34" i="1"/>
  <c r="AH33" i="1"/>
  <c r="AH32" i="1"/>
  <c r="AH28" i="1"/>
  <c r="AH27" i="1"/>
  <c r="AH23" i="1"/>
  <c r="AH22" i="1"/>
  <c r="AH21" i="1"/>
  <c r="AH20" i="1"/>
  <c r="AH19" i="1"/>
  <c r="AH18" i="1"/>
  <c r="AH16" i="1"/>
  <c r="AH15" i="1"/>
  <c r="AH14" i="1"/>
  <c r="AH13" i="1"/>
  <c r="AH12" i="1"/>
  <c r="AH10" i="1"/>
  <c r="AH9" i="1"/>
  <c r="AH8" i="1"/>
  <c r="AH7" i="1"/>
  <c r="AH6" i="1"/>
  <c r="AH5" i="1"/>
  <c r="AG69" i="1"/>
  <c r="AG68" i="1"/>
  <c r="AG63" i="1"/>
  <c r="AG62" i="1"/>
  <c r="AG57" i="1"/>
  <c r="AG53" i="1"/>
  <c r="AG52" i="1"/>
  <c r="AG50" i="1"/>
  <c r="AG44" i="1"/>
  <c r="AG40" i="1"/>
  <c r="AG39" i="1"/>
  <c r="AG38" i="1"/>
  <c r="AG36" i="1"/>
  <c r="AG34" i="1"/>
  <c r="AG33" i="1"/>
  <c r="AG32" i="1"/>
  <c r="AG31" i="1"/>
  <c r="AG29" i="1"/>
  <c r="AG28" i="1"/>
  <c r="AG27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F69" i="1"/>
  <c r="AF65" i="1"/>
  <c r="AF64" i="1"/>
  <c r="AF60" i="1"/>
  <c r="AF57" i="1"/>
  <c r="AF56" i="1"/>
  <c r="AF55" i="1"/>
  <c r="AF54" i="1"/>
  <c r="AF53" i="1"/>
  <c r="AF51" i="1"/>
  <c r="AF50" i="1"/>
  <c r="AF48" i="1"/>
  <c r="AF44" i="1"/>
  <c r="AF43" i="1"/>
  <c r="AF39" i="1"/>
  <c r="AF38" i="1"/>
  <c r="AF36" i="1"/>
  <c r="AF34" i="1"/>
  <c r="AF32" i="1"/>
  <c r="AF31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E69" i="1"/>
  <c r="AE65" i="1"/>
  <c r="AE64" i="1"/>
  <c r="AE60" i="1"/>
  <c r="AE57" i="1"/>
  <c r="AE56" i="1"/>
  <c r="AE55" i="1"/>
  <c r="AE54" i="1"/>
  <c r="AE53" i="1"/>
  <c r="AE52" i="1"/>
  <c r="AE51" i="1"/>
  <c r="AE50" i="1"/>
  <c r="AE43" i="1"/>
  <c r="AE39" i="1"/>
  <c r="AE38" i="1"/>
  <c r="AE36" i="1"/>
  <c r="AE34" i="1"/>
  <c r="AE32" i="1"/>
  <c r="AE31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D48" i="1"/>
  <c r="AD44" i="1"/>
  <c r="AD7" i="1"/>
  <c r="AD5" i="1"/>
  <c r="V43" i="1"/>
  <c r="V40" i="1"/>
  <c r="V39" i="1"/>
  <c r="V38" i="1"/>
  <c r="V37" i="1"/>
  <c r="V36" i="1"/>
  <c r="V35" i="1"/>
  <c r="V34" i="1"/>
  <c r="V33" i="1"/>
  <c r="V32" i="1"/>
  <c r="V31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U5" i="1"/>
  <c r="U40" i="1"/>
  <c r="U39" i="1"/>
  <c r="U37" i="1"/>
  <c r="U36" i="1"/>
  <c r="U35" i="1"/>
  <c r="U34" i="1"/>
  <c r="U33" i="1"/>
  <c r="U32" i="1"/>
  <c r="U31" i="1"/>
  <c r="U29" i="1"/>
  <c r="U28" i="1"/>
  <c r="U27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T37" i="1"/>
  <c r="T36" i="1"/>
  <c r="T35" i="1"/>
  <c r="T34" i="1"/>
  <c r="T33" i="1"/>
  <c r="T32" i="1"/>
  <c r="T27" i="1"/>
  <c r="T23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S40" i="1"/>
  <c r="S39" i="1"/>
  <c r="S33" i="1"/>
  <c r="S31" i="1"/>
  <c r="S29" i="1"/>
  <c r="S28" i="1"/>
  <c r="S23" i="1"/>
  <c r="S22" i="1"/>
  <c r="S21" i="1"/>
  <c r="S20" i="1"/>
  <c r="S19" i="1"/>
  <c r="S18" i="1"/>
  <c r="S16" i="1"/>
  <c r="S15" i="1"/>
  <c r="S14" i="1"/>
  <c r="S13" i="1"/>
  <c r="S12" i="1"/>
  <c r="S10" i="1"/>
  <c r="S9" i="1"/>
  <c r="S8" i="1"/>
  <c r="S7" i="1"/>
  <c r="S6" i="1"/>
  <c r="S5" i="1"/>
  <c r="R33" i="1"/>
  <c r="R39" i="1"/>
  <c r="R38" i="1"/>
  <c r="R37" i="1"/>
  <c r="R35" i="1"/>
  <c r="R34" i="1"/>
  <c r="R32" i="1"/>
  <c r="R31" i="1"/>
  <c r="R29" i="1"/>
  <c r="R28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3" i="1"/>
  <c r="Q43" i="1"/>
  <c r="Q39" i="1"/>
  <c r="Q38" i="1"/>
  <c r="Q37" i="1"/>
  <c r="Q35" i="1"/>
  <c r="Q34" i="1"/>
  <c r="Q33" i="1"/>
  <c r="Q32" i="1"/>
  <c r="Q31" i="1"/>
  <c r="Q29" i="1"/>
  <c r="Q28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P7" i="1"/>
  <c r="Q5" i="1"/>
  <c r="P5" i="1"/>
  <c r="M14" i="6"/>
  <c r="M17" i="6" s="1"/>
  <c r="M13" i="6"/>
  <c r="M16" i="6" l="1"/>
  <c r="M18" i="6" s="1"/>
  <c r="M20" i="6" s="1"/>
  <c r="Q5" i="9"/>
  <c r="Q6" i="9"/>
  <c r="Q8" i="9"/>
  <c r="Q10" i="9"/>
  <c r="Q12" i="9"/>
  <c r="Q14" i="9"/>
  <c r="Q16" i="9"/>
  <c r="Q18" i="9"/>
  <c r="Q20" i="9"/>
  <c r="Q22" i="9"/>
  <c r="Q24" i="9"/>
  <c r="Q26" i="9"/>
  <c r="Q29" i="9"/>
  <c r="Q32" i="9"/>
  <c r="Q34" i="9"/>
  <c r="Q37" i="9"/>
  <c r="Q39" i="9"/>
  <c r="R43" i="9"/>
  <c r="R6" i="9"/>
  <c r="R8" i="9"/>
  <c r="R10" i="9"/>
  <c r="R12" i="9"/>
  <c r="R14" i="9"/>
  <c r="R16" i="9"/>
  <c r="R18" i="9"/>
  <c r="R20" i="9"/>
  <c r="R22" i="9"/>
  <c r="R24" i="9"/>
  <c r="R26" i="9"/>
  <c r="R29" i="9"/>
  <c r="R32" i="9"/>
  <c r="R35" i="9"/>
  <c r="R38" i="9"/>
  <c r="R33" i="9"/>
  <c r="S6" i="9"/>
  <c r="S8" i="9"/>
  <c r="S10" i="9"/>
  <c r="S13" i="9"/>
  <c r="S15" i="9"/>
  <c r="S18" i="9"/>
  <c r="S20" i="9"/>
  <c r="S22" i="9"/>
  <c r="S28" i="9"/>
  <c r="S31" i="9"/>
  <c r="S39" i="9"/>
  <c r="T5" i="9"/>
  <c r="T7" i="9"/>
  <c r="T9" i="9"/>
  <c r="T11" i="9"/>
  <c r="T13" i="9"/>
  <c r="T15" i="9"/>
  <c r="T17" i="9"/>
  <c r="T19" i="9"/>
  <c r="T21" i="9"/>
  <c r="T27" i="9"/>
  <c r="T33" i="9"/>
  <c r="T35" i="9"/>
  <c r="T37" i="9"/>
  <c r="U7" i="9"/>
  <c r="U9" i="9"/>
  <c r="U11" i="9"/>
  <c r="U13" i="9"/>
  <c r="U15" i="9"/>
  <c r="U17" i="9"/>
  <c r="U19" i="9"/>
  <c r="U21" i="9"/>
  <c r="U23" i="9"/>
  <c r="U28" i="9"/>
  <c r="U31" i="9"/>
  <c r="U33" i="9"/>
  <c r="U35" i="9"/>
  <c r="U37" i="9"/>
  <c r="U40" i="9"/>
  <c r="V5" i="9"/>
  <c r="V7" i="9"/>
  <c r="V9" i="9"/>
  <c r="V11" i="9"/>
  <c r="V13" i="9"/>
  <c r="V15" i="9"/>
  <c r="V17" i="9"/>
  <c r="V19" i="9"/>
  <c r="V21" i="9"/>
  <c r="V23" i="9"/>
  <c r="V25" i="9"/>
  <c r="V27" i="9"/>
  <c r="V29" i="9"/>
  <c r="V32" i="9"/>
  <c r="V34" i="9"/>
  <c r="V36" i="9"/>
  <c r="V38" i="9"/>
  <c r="V40" i="9"/>
  <c r="AD5" i="9"/>
  <c r="AD44" i="9"/>
  <c r="AE5" i="9"/>
  <c r="AE7" i="9"/>
  <c r="AE9" i="9"/>
  <c r="AE11" i="9"/>
  <c r="AE13" i="9"/>
  <c r="AE15" i="9"/>
  <c r="AE17" i="9"/>
  <c r="AE19" i="9"/>
  <c r="AE21" i="9"/>
  <c r="AE23" i="9"/>
  <c r="AE25" i="9"/>
  <c r="AE27" i="9"/>
  <c r="AE29" i="9"/>
  <c r="AE32" i="9"/>
  <c r="AE36" i="9"/>
  <c r="AE39" i="9"/>
  <c r="AE50" i="9"/>
  <c r="AE52" i="9"/>
  <c r="AE54" i="9"/>
  <c r="AE56" i="9"/>
  <c r="AE60" i="9"/>
  <c r="AE65" i="9"/>
  <c r="AF5" i="9"/>
  <c r="AF7" i="9"/>
  <c r="AF9" i="9"/>
  <c r="AF11" i="9"/>
  <c r="AF13" i="9"/>
  <c r="AF15" i="9"/>
  <c r="AF17" i="9"/>
  <c r="AF19" i="9"/>
  <c r="AF21" i="9"/>
  <c r="AF23" i="9"/>
  <c r="AF25" i="9"/>
  <c r="AF27" i="9"/>
  <c r="AF29" i="9"/>
  <c r="AF32" i="9"/>
  <c r="AF36" i="9"/>
  <c r="AF39" i="9"/>
  <c r="AF44" i="9"/>
  <c r="AF50" i="9"/>
  <c r="AF53" i="9"/>
  <c r="AF55" i="9"/>
  <c r="AF57" i="9"/>
  <c r="AF64" i="9"/>
  <c r="AF69" i="9"/>
  <c r="AG6" i="9"/>
  <c r="AG8" i="9"/>
  <c r="AG10" i="9"/>
  <c r="AG12" i="9"/>
  <c r="AG14" i="9"/>
  <c r="AG16" i="9"/>
  <c r="AG18" i="9"/>
  <c r="AG20" i="9"/>
  <c r="AG22" i="9"/>
  <c r="AG27" i="9"/>
  <c r="AG29" i="9"/>
  <c r="AG32" i="9"/>
  <c r="AG34" i="9"/>
  <c r="AG38" i="9"/>
  <c r="AG40" i="9"/>
  <c r="AG50" i="9"/>
  <c r="AG53" i="9"/>
  <c r="AG62" i="9"/>
  <c r="AG68" i="9"/>
  <c r="AH5" i="9"/>
  <c r="AH7" i="9"/>
  <c r="AH9" i="9"/>
  <c r="AH12" i="9"/>
  <c r="AH14" i="9"/>
  <c r="AH16" i="9"/>
  <c r="AH19" i="9"/>
  <c r="AH21" i="9"/>
  <c r="AH23" i="9"/>
  <c r="AH28" i="9"/>
  <c r="AH33" i="9"/>
  <c r="AH44" i="9"/>
  <c r="AH50" i="9"/>
  <c r="AH52" i="9"/>
  <c r="AH54" i="9"/>
  <c r="AH60" i="9"/>
  <c r="AH63" i="9"/>
  <c r="AH67" i="9"/>
  <c r="AI5" i="9"/>
  <c r="AI7" i="9"/>
  <c r="AI9" i="9"/>
  <c r="AI11" i="9"/>
  <c r="AI13" i="9"/>
  <c r="AI15" i="9"/>
  <c r="AI17" i="9"/>
  <c r="AI19" i="9"/>
  <c r="AI21" i="9"/>
  <c r="AI23" i="9"/>
  <c r="AI28" i="9"/>
  <c r="AI31" i="9"/>
  <c r="AI33" i="9"/>
  <c r="AI36" i="9"/>
  <c r="AI39" i="9"/>
  <c r="AI44" i="9"/>
  <c r="AI50" i="9"/>
  <c r="AI52" i="9"/>
  <c r="AI54" i="9"/>
  <c r="AI60" i="9"/>
  <c r="AI63" i="9"/>
  <c r="AI67" i="9"/>
  <c r="AI69" i="9"/>
  <c r="AJ6" i="9"/>
  <c r="AJ8" i="9"/>
  <c r="AJ10" i="9"/>
  <c r="AJ12" i="9"/>
  <c r="AJ14" i="9"/>
  <c r="AJ16" i="9"/>
  <c r="AJ18" i="9"/>
  <c r="AJ20" i="9"/>
  <c r="AJ22" i="9"/>
  <c r="AJ24" i="9"/>
  <c r="AJ26" i="9"/>
  <c r="AJ28" i="9"/>
  <c r="AJ31" i="9"/>
  <c r="AJ33" i="9"/>
  <c r="AJ36" i="9"/>
  <c r="AJ39" i="9"/>
  <c r="AJ43" i="9"/>
  <c r="AJ48" i="9"/>
  <c r="AJ51" i="9"/>
  <c r="AJ53" i="9"/>
  <c r="AJ55" i="9"/>
  <c r="AJ57" i="9"/>
  <c r="AJ62" i="9"/>
  <c r="AJ64" i="9"/>
  <c r="AJ66" i="9"/>
  <c r="AJ68" i="9"/>
  <c r="AK5" i="9"/>
  <c r="AL7" i="9"/>
  <c r="AL9" i="9"/>
  <c r="AL11" i="9"/>
  <c r="AL13" i="9"/>
  <c r="AL15" i="9"/>
  <c r="AL17" i="9"/>
  <c r="AL19" i="9"/>
  <c r="AL21" i="9"/>
  <c r="AL23" i="9"/>
  <c r="AL25" i="9"/>
  <c r="AL28" i="9"/>
  <c r="AL31" i="9"/>
  <c r="AL33" i="9"/>
  <c r="AL36" i="9"/>
  <c r="AL39" i="9"/>
  <c r="AL50" i="9"/>
  <c r="AL52" i="9"/>
  <c r="AL54" i="9"/>
  <c r="AL56" i="9"/>
  <c r="AL60" i="9"/>
  <c r="AL64" i="9"/>
  <c r="AL67" i="9"/>
  <c r="AL5" i="9"/>
  <c r="AY7" i="9"/>
  <c r="AY44" i="9"/>
  <c r="P5" i="9"/>
  <c r="P7" i="9"/>
  <c r="Q7" i="9"/>
  <c r="Q9" i="9"/>
  <c r="Q11" i="9"/>
  <c r="Q13" i="9"/>
  <c r="Q15" i="9"/>
  <c r="Q17" i="9"/>
  <c r="Q19" i="9"/>
  <c r="Q21" i="9"/>
  <c r="Q23" i="9"/>
  <c r="Q25" i="9"/>
  <c r="Q28" i="9"/>
  <c r="Q31" i="9"/>
  <c r="Q33" i="9"/>
  <c r="Q35" i="9"/>
  <c r="Q38" i="9"/>
  <c r="Q43" i="9"/>
  <c r="R5" i="9"/>
  <c r="R7" i="9"/>
  <c r="R9" i="9"/>
  <c r="R11" i="9"/>
  <c r="R13" i="9"/>
  <c r="R15" i="9"/>
  <c r="R17" i="9"/>
  <c r="R19" i="9"/>
  <c r="R21" i="9"/>
  <c r="R23" i="9"/>
  <c r="R25" i="9"/>
  <c r="R28" i="9"/>
  <c r="R31" i="9"/>
  <c r="R34" i="9"/>
  <c r="R37" i="9"/>
  <c r="R39" i="9"/>
  <c r="S5" i="9"/>
  <c r="S7" i="9"/>
  <c r="S9" i="9"/>
  <c r="S12" i="9"/>
  <c r="S14" i="9"/>
  <c r="S16" i="9"/>
  <c r="S19" i="9"/>
  <c r="S21" i="9"/>
  <c r="S23" i="9"/>
  <c r="S29" i="9"/>
  <c r="S33" i="9"/>
  <c r="S40" i="9"/>
  <c r="T6" i="9"/>
  <c r="T8" i="9"/>
  <c r="T10" i="9"/>
  <c r="T12" i="9"/>
  <c r="T14" i="9"/>
  <c r="T16" i="9"/>
  <c r="T18" i="9"/>
  <c r="T20" i="9"/>
  <c r="T23" i="9"/>
  <c r="T32" i="9"/>
  <c r="T34" i="9"/>
  <c r="T36" i="9"/>
  <c r="U6" i="9"/>
  <c r="U8" i="9"/>
  <c r="U10" i="9"/>
  <c r="U12" i="9"/>
  <c r="U14" i="9"/>
  <c r="U16" i="9"/>
  <c r="U18" i="9"/>
  <c r="U20" i="9"/>
  <c r="U22" i="9"/>
  <c r="U27" i="9"/>
  <c r="U29" i="9"/>
  <c r="U32" i="9"/>
  <c r="U34" i="9"/>
  <c r="U36" i="9"/>
  <c r="U39" i="9"/>
  <c r="U5" i="9"/>
  <c r="V6" i="9"/>
  <c r="V8" i="9"/>
  <c r="V10" i="9"/>
  <c r="V12" i="9"/>
  <c r="V14" i="9"/>
  <c r="V16" i="9"/>
  <c r="V18" i="9"/>
  <c r="V20" i="9"/>
  <c r="V22" i="9"/>
  <c r="V24" i="9"/>
  <c r="V26" i="9"/>
  <c r="V28" i="9"/>
  <c r="V31" i="9"/>
  <c r="V33" i="9"/>
  <c r="V35" i="9"/>
  <c r="V37" i="9"/>
  <c r="V39" i="9"/>
  <c r="V43" i="9"/>
  <c r="AD7" i="9"/>
  <c r="AD48" i="9"/>
  <c r="AE6" i="9"/>
  <c r="AE8" i="9"/>
  <c r="AE10" i="9"/>
  <c r="AE12" i="9"/>
  <c r="AE14" i="9"/>
  <c r="AE16" i="9"/>
  <c r="AE18" i="9"/>
  <c r="AE20" i="9"/>
  <c r="AE22" i="9"/>
  <c r="AE24" i="9"/>
  <c r="AE26" i="9"/>
  <c r="AE28" i="9"/>
  <c r="AE31" i="9"/>
  <c r="AE34" i="9"/>
  <c r="AE38" i="9"/>
  <c r="AE43" i="9"/>
  <c r="AE51" i="9"/>
  <c r="AE53" i="9"/>
  <c r="AE55" i="9"/>
  <c r="AE57" i="9"/>
  <c r="AE64" i="9"/>
  <c r="AE69" i="9"/>
  <c r="AF6" i="9"/>
  <c r="AF8" i="9"/>
  <c r="AF10" i="9"/>
  <c r="AF12" i="9"/>
  <c r="AF14" i="9"/>
  <c r="AF16" i="9"/>
  <c r="AF18" i="9"/>
  <c r="AF20" i="9"/>
  <c r="AF22" i="9"/>
  <c r="AF24" i="9"/>
  <c r="AF26" i="9"/>
  <c r="AF28" i="9"/>
  <c r="AF31" i="9"/>
  <c r="AF34" i="9"/>
  <c r="AF38" i="9"/>
  <c r="AF43" i="9"/>
  <c r="AF48" i="9"/>
  <c r="AF51" i="9"/>
  <c r="AF54" i="9"/>
  <c r="AF56" i="9"/>
  <c r="AF60" i="9"/>
  <c r="AF65" i="9"/>
  <c r="AG5" i="9"/>
  <c r="AG7" i="9"/>
  <c r="AG9" i="9"/>
  <c r="AG11" i="9"/>
  <c r="AG13" i="9"/>
  <c r="AG15" i="9"/>
  <c r="AG17" i="9"/>
  <c r="AG19" i="9"/>
  <c r="AG21" i="9"/>
  <c r="AG23" i="9"/>
  <c r="AG28" i="9"/>
  <c r="AG31" i="9"/>
  <c r="AG33" i="9"/>
  <c r="AG36" i="9"/>
  <c r="AG39" i="9"/>
  <c r="AG44" i="9"/>
  <c r="AG52" i="9"/>
  <c r="AG57" i="9"/>
  <c r="AG63" i="9"/>
  <c r="AG69" i="9"/>
  <c r="AH6" i="9"/>
  <c r="AH8" i="9"/>
  <c r="AH10" i="9"/>
  <c r="AH13" i="9"/>
  <c r="AH15" i="9"/>
  <c r="AH18" i="9"/>
  <c r="AH20" i="9"/>
  <c r="AH22" i="9"/>
  <c r="AH27" i="9"/>
  <c r="AH32" i="9"/>
  <c r="AH34" i="9"/>
  <c r="AH48" i="9"/>
  <c r="AH51" i="9"/>
  <c r="AH53" i="9"/>
  <c r="AH57" i="9"/>
  <c r="AH62" i="9"/>
  <c r="AH66" i="9"/>
  <c r="AH69" i="9"/>
  <c r="AI6" i="9"/>
  <c r="AI8" i="9"/>
  <c r="AI10" i="9"/>
  <c r="AI12" i="9"/>
  <c r="AI14" i="9"/>
  <c r="AI16" i="9"/>
  <c r="AI18" i="9"/>
  <c r="AI20" i="9"/>
  <c r="AI22" i="9"/>
  <c r="AI27" i="9"/>
  <c r="AI29" i="9"/>
  <c r="AI32" i="9"/>
  <c r="AI34" i="9"/>
  <c r="AI38" i="9"/>
  <c r="AI40" i="9"/>
  <c r="AI48" i="9"/>
  <c r="AI51" i="9"/>
  <c r="AI53" i="9"/>
  <c r="AI57" i="9"/>
  <c r="AI62" i="9"/>
  <c r="AI66" i="9"/>
  <c r="AI68" i="9"/>
  <c r="AJ5" i="9"/>
  <c r="AJ7" i="9"/>
  <c r="AJ9" i="9"/>
  <c r="AJ11" i="9"/>
  <c r="AJ13" i="9"/>
  <c r="AJ15" i="9"/>
  <c r="AJ17" i="9"/>
  <c r="AJ19" i="9"/>
  <c r="AJ21" i="9"/>
  <c r="AJ23" i="9"/>
  <c r="AJ25" i="9"/>
  <c r="AJ27" i="9"/>
  <c r="AJ29" i="9"/>
  <c r="AJ32" i="9"/>
  <c r="AJ34" i="9"/>
  <c r="AJ38" i="9"/>
  <c r="AJ40" i="9"/>
  <c r="AJ44" i="9"/>
  <c r="AJ50" i="9"/>
  <c r="AJ52" i="9"/>
  <c r="AJ54" i="9"/>
  <c r="AJ56" i="9"/>
  <c r="AJ60" i="9"/>
  <c r="AJ63" i="9"/>
  <c r="AJ65" i="9"/>
  <c r="AJ67" i="9"/>
  <c r="AJ69" i="9"/>
  <c r="AL6" i="9"/>
  <c r="AL8" i="9"/>
  <c r="AL10" i="9"/>
  <c r="AL12" i="9"/>
  <c r="AL14" i="9"/>
  <c r="AL16" i="9"/>
  <c r="AL18" i="9"/>
  <c r="AL20" i="9"/>
  <c r="AL22" i="9"/>
  <c r="AL24" i="9"/>
  <c r="AL27" i="9"/>
  <c r="AL29" i="9"/>
  <c r="AL32" i="9"/>
  <c r="AL34" i="9"/>
  <c r="AL38" i="9"/>
  <c r="AL43" i="9"/>
  <c r="AL51" i="9"/>
  <c r="AL53" i="9"/>
  <c r="AL55" i="9"/>
  <c r="AL57" i="9"/>
  <c r="AL61" i="9"/>
  <c r="AL66" i="9"/>
  <c r="AL71" i="9"/>
  <c r="AY5" i="9"/>
  <c r="AY32" i="9"/>
  <c r="AY48" i="9"/>
</calcChain>
</file>

<file path=xl/sharedStrings.xml><?xml version="1.0" encoding="utf-8"?>
<sst xmlns="http://schemas.openxmlformats.org/spreadsheetml/2006/main" count="637" uniqueCount="120">
  <si>
    <t>MINISTERIO DE TRANSPORTE E INFRAESTRUCTURA</t>
  </si>
  <si>
    <t>EMPRESA NICARAGÜENSE DE ACUEDUCTOS Y ALCANTARILLADOS</t>
  </si>
  <si>
    <t>INSTITUTO NICARAGÜENSE DE ESTUDIOS TERRITORIALES</t>
  </si>
  <si>
    <t>INSTITUTO DE VIVIENDA URBANA Y RURAL</t>
  </si>
  <si>
    <t>MINISTERIO DE SALUD</t>
  </si>
  <si>
    <t>INSTITUTO NICARAGÜENSE DE FOMENTO MUNICIPAL</t>
  </si>
  <si>
    <t>FONDO DE INVERSION SOCIAL DE EMERGENCIA</t>
  </si>
  <si>
    <t>MINISTERIO DE LA FAMILIA, ADOLESCENCIA Y NIÑEZ</t>
  </si>
  <si>
    <t>TRANSFERENCIAS ALCALDIAS MUNICIPALES</t>
  </si>
  <si>
    <t>MINISTERIO AGROPECUARIO Y FORESTAL</t>
  </si>
  <si>
    <t>MINISTERIO DEL AMBIENTE Y LOS RECURSOS NATURALES</t>
  </si>
  <si>
    <t>MINISTERIO DE FOMENTO, INDUSTRIA Y COMERCIO</t>
  </si>
  <si>
    <t>INSTITUTO DE DESARROLLO RURAL</t>
  </si>
  <si>
    <t>INSTITUTO NACIONAL DE INFORMACION DE DESARROLLO</t>
  </si>
  <si>
    <t>MINISTERIO DE GOBERNACION</t>
  </si>
  <si>
    <t>GOBIERNO RAAN</t>
  </si>
  <si>
    <t>GOBIERNO RAAS</t>
  </si>
  <si>
    <t>ASAMBLEA NACIONAL</t>
  </si>
  <si>
    <t>CONSEJO SUPREMO ELECTORAL</t>
  </si>
  <si>
    <t>PRESIDENCIA DE LA REPUBLICA</t>
  </si>
  <si>
    <t>PROCURADURIA GENERAL DE LA REPUBLICA</t>
  </si>
  <si>
    <t>MINISTERIO DE DEFENSA</t>
  </si>
  <si>
    <t>EMPRESA NACIONAL DE TRANSMISIÓN ELÉCTRICA</t>
  </si>
  <si>
    <t>PROGRAMA DE EFICIENCIA Y TRANSPARENCIA CONTRATACIONES DEL ESTADO</t>
  </si>
  <si>
    <t>PROYECTO DE ORDENAMIENTO DE LA PROPIEDAD</t>
  </si>
  <si>
    <t>INSTITUTO NICARAGÜENSE DE LA JUVENTUD</t>
  </si>
  <si>
    <t>TOTAL</t>
  </si>
  <si>
    <t>DESCRIPCIÓN</t>
  </si>
  <si>
    <t>RECURSOS EXTERNOS</t>
  </si>
  <si>
    <t>RECURSOS INTERNOS</t>
  </si>
  <si>
    <t>Recursos Propios</t>
  </si>
  <si>
    <t>Recursos del Tesoro</t>
  </si>
  <si>
    <t>Total Recursos Internos</t>
  </si>
  <si>
    <t>Donación</t>
  </si>
  <si>
    <t>Préstamos</t>
  </si>
  <si>
    <t>Total Recusos Externos</t>
  </si>
  <si>
    <t>INSTITUTO NACIONAL TECNOLÓGICO</t>
  </si>
  <si>
    <t>INSTITUTO TECNOLÓGICO NACIONAL</t>
  </si>
  <si>
    <t>SECRETARIA TÉCNICA DE LA PRESIDENCIA</t>
  </si>
  <si>
    <t>EMPRESA NICARAGUENSE DE ELECTRICIDAD</t>
  </si>
  <si>
    <t>CONSEJO NACIONAL DE UNIVERSIDADES</t>
  </si>
  <si>
    <t>CONTRALORIA GENERAL DE LA REPUBLICA</t>
  </si>
  <si>
    <t>CORTE SUPREMA DE JUSTICIA</t>
  </si>
  <si>
    <t>PROGRAMA DE APOYO AL FORTALECIMIENTO DE LA PLANIFICACION ESTRATEGICA Y LA PREINVERSION</t>
  </si>
  <si>
    <t>Ingresos con Destinos especificos</t>
  </si>
  <si>
    <t>-</t>
  </si>
  <si>
    <t>Descripción</t>
  </si>
  <si>
    <t>Gasto corriente</t>
  </si>
  <si>
    <t xml:space="preserve">Gasto de capital </t>
  </si>
  <si>
    <t>Gasto total</t>
  </si>
  <si>
    <t>Consumo Colectivo nominal</t>
  </si>
  <si>
    <t>Consumo Colectivo real</t>
  </si>
  <si>
    <t>Inversión Pública nominal</t>
  </si>
  <si>
    <t>Inversion Pública real</t>
  </si>
  <si>
    <t>Deflactor consumo colectivo</t>
  </si>
  <si>
    <t>Deflactor inversion pública</t>
  </si>
  <si>
    <t>Gasto corriente real</t>
  </si>
  <si>
    <t>Gasto de capital real</t>
  </si>
  <si>
    <t>Gasto total real</t>
  </si>
  <si>
    <t>Deflactor compuesto</t>
  </si>
  <si>
    <t xml:space="preserve"> Indice de Precios al Consumidor </t>
  </si>
  <si>
    <t>Tipo de Cambio Oficial Promedio Anual</t>
  </si>
  <si>
    <t>Notas:</t>
  </si>
  <si>
    <t>1. Cifras del Gasto, Consumo e Inversión en millones de córdobas</t>
  </si>
  <si>
    <t>2. Cifras reales base 2006</t>
  </si>
  <si>
    <t>3. Base 2006</t>
  </si>
  <si>
    <t>MINISTERIO DEL TRABAJO 1/</t>
  </si>
  <si>
    <t>PROCURADURÍA GENERAL DE JUSTICIA 3/</t>
  </si>
  <si>
    <t>PROGRAMA DE APOYO A LA IMPLEMENTACIÓN DE LA ESTRATEGIA DE REDUCCIÓN DE POBREZA (PAI) 4/</t>
  </si>
  <si>
    <t>INSTITUTO NICARAGÜENSE DE LA PESCA Y ACUACULTURA 5/</t>
  </si>
  <si>
    <t>INSTITUTO NICARAGÜENSE DE DEPORTES 5/</t>
  </si>
  <si>
    <t>INSTITUTO NICARAGÜENSE DE CULTURA 5/</t>
  </si>
  <si>
    <t>INSTITUTO NICARAGÜENSE DE LA MUJER 5/</t>
  </si>
  <si>
    <t>TEATRO NACIONAL RUBEN DARIO 6/</t>
  </si>
  <si>
    <t>EMPRESA PORTUARIA NACIONAL 7/</t>
  </si>
  <si>
    <t>COMISIÓN NACIONAL DE ENERGÍA 8/</t>
  </si>
  <si>
    <t>PROYECTO DE APOYO A LAS COMUNIDADES 9/</t>
  </si>
  <si>
    <t>MINISTERIO DE HACIENDA Y CREDITO PUBLICO 10/</t>
  </si>
  <si>
    <t>UCRESEP 11/</t>
  </si>
  <si>
    <t>1/: A partir de 2004</t>
  </si>
  <si>
    <t>MINISTERIO DE ENERGIA Y MINAS 1/</t>
  </si>
  <si>
    <t>MINISTERIO DE EDUCACION 2/</t>
  </si>
  <si>
    <t>2/: Antes de 2004 era el Ministerio de Educación, Cultura y Deporte</t>
  </si>
  <si>
    <t>3/: Sólo para 2002 y 2003</t>
  </si>
  <si>
    <t>4/: Sólo para 2003 y 2004</t>
  </si>
  <si>
    <t>5/: Se crearon a partir de 2004</t>
  </si>
  <si>
    <t>6/: De 2004 en adelante</t>
  </si>
  <si>
    <t>7/: Sólo aparece en 2002 y 2005</t>
  </si>
  <si>
    <t>8/: A partir de 2002</t>
  </si>
  <si>
    <t>9/: A partir de 2003</t>
  </si>
  <si>
    <t>10/: De 2005 en adelante</t>
  </si>
  <si>
    <t>11/: Se crea en 2005</t>
  </si>
  <si>
    <t>SECRETARIA EJECUTIVA DEL SISTEMA NACIONAL DE PREVENCION, MITIGACION Y ATENCION DE DESASTRES 11/</t>
  </si>
  <si>
    <t>DIRECCION GENERAL DE INGRESOS  11/</t>
  </si>
  <si>
    <t>DIRECCION GENERAL DE SERVICIOS ADUANEROS  11/</t>
  </si>
  <si>
    <t>CENTRALIZACION DEL SISTEMA TRIBUTARIO  11/</t>
  </si>
  <si>
    <t>MODERNIZACION Y ACREDITACION DE LA EDUCACION TERCIARIA  11/</t>
  </si>
  <si>
    <t>CONSTRUCCION Y MANTENIMIENTO DE INSTALACIONES DEPORTIVAS  11/</t>
  </si>
  <si>
    <t>ALCALDIA DE NIQUINOHOMO  11/</t>
  </si>
  <si>
    <t>ALCALDIA DE MANAGUA  11/</t>
  </si>
  <si>
    <t>INSTITUTO NICARAGÜENSE DE TELECOMUNICACIONES  11/</t>
  </si>
  <si>
    <t>12/:  A partir de 2006</t>
  </si>
  <si>
    <t>INSTITUTO NICARAGÜENSE DE TURISMO 12/</t>
  </si>
  <si>
    <t>CONSEJO NACIONAL DEL DEPORTE, LA EDUCACION Y LA RECREACION FISICA 12/</t>
  </si>
  <si>
    <t>ASIGNACIONES Y SUBVENCIONES 12/</t>
  </si>
  <si>
    <t>FINANCIERA NICARAGUENSE DE INVERSIONES 12/</t>
  </si>
  <si>
    <t>SUPERINTENDENCIA DE BANCOS Y DE OTRAS INSTITUCIONES FINANCIERAS 12/</t>
  </si>
  <si>
    <t>TRANSFERENCIA A 15 MUNICIPIOS DE MADRIZ, NUEVA SEGOVIA, JINOTEGA y MATAGALPA 12/</t>
  </si>
  <si>
    <t>13/: A partir de 2007</t>
  </si>
  <si>
    <t>ALCALDIA DE SAN CARLOS 13/</t>
  </si>
  <si>
    <t>ALCALDIA DE SEBACO 13/</t>
  </si>
  <si>
    <t>14/: A partir de 2011</t>
  </si>
  <si>
    <t>15/:  A partir de 2012</t>
  </si>
  <si>
    <t>ALCALDIA DE LEÓN 14/</t>
  </si>
  <si>
    <t>ALCALDIA DE CHINANDEGA 14/</t>
  </si>
  <si>
    <t>ALCALDIA DE ESTELI 14/</t>
  </si>
  <si>
    <t>ALCALDIA DE MASAYA 14/</t>
  </si>
  <si>
    <t>ALCALDIA DE GRANADA 14/</t>
  </si>
  <si>
    <t>EMPRESA ADMINISTRADORA DE AEROPUERTOS INTERNACIONALES 15/</t>
  </si>
  <si>
    <t>MINISTERIO DE ECONOMIA FAMILIAR, COMUNITARIA, COOPERATIVA  Y ASOCIATIVA  15/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</si>
</sst>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4"/>
      <color indexed="12"/>
      <name val="Times New Roman"/>
      <family val="1"/>
    </font>
    <font>
      <b/>
      <sz val="14"/>
      <color indexed="39"/>
      <name val="Times New Roman"/>
      <family val="1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"/>
      <name val="Arial"/>
      <family val="2"/>
    </font>
    <font>
      <i/>
      <sz val="7"/>
      <color indexed="8"/>
      <name val="Courier New"/>
      <family val="3"/>
    </font>
    <font>
      <sz val="10"/>
      <color indexed="10"/>
      <name val="Times New Roman"/>
      <family val="1"/>
    </font>
    <font>
      <i/>
      <sz val="9"/>
      <color indexed="17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8"/>
      <name val="Verdana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22">
    <xf numFmtId="0" fontId="0" fillId="0" borderId="0"/>
    <xf numFmtId="0" fontId="1" fillId="0" borderId="6" applyNumberFormat="0" applyAlignment="0"/>
    <xf numFmtId="0" fontId="2" fillId="0" borderId="0" applyNumberFormat="0" applyFill="0" applyBorder="0" applyProtection="0">
      <alignment wrapText="1"/>
    </xf>
    <xf numFmtId="43" fontId="5" fillId="0" borderId="0" applyFont="0" applyFill="0" applyBorder="0" applyAlignment="0" applyProtection="0"/>
    <xf numFmtId="0" fontId="6" fillId="0" borderId="0"/>
    <xf numFmtId="0" fontId="11" fillId="0" borderId="6" applyNumberFormat="0" applyAlignment="0"/>
    <xf numFmtId="0" fontId="9" fillId="0" borderId="6" applyNumberFormat="0" applyAlignment="0"/>
    <xf numFmtId="0" fontId="10" fillId="0" borderId="6" applyNumberFormat="0" applyAlignment="0"/>
    <xf numFmtId="0" fontId="7" fillId="0" borderId="6" applyNumberFormat="0" applyAlignment="0"/>
    <xf numFmtId="0" fontId="8" fillId="0" borderId="6" applyNumberFormat="0" applyAlignment="0"/>
    <xf numFmtId="0" fontId="8" fillId="0" borderId="6" applyNumberFormat="0" applyAlignment="0"/>
    <xf numFmtId="164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67">
    <xf numFmtId="0" fontId="0" fillId="0" borderId="0" xfId="0"/>
    <xf numFmtId="0" fontId="0" fillId="0" borderId="4" xfId="0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3" fillId="0" borderId="0" xfId="0" applyFont="1"/>
    <xf numFmtId="43" fontId="4" fillId="0" borderId="0" xfId="3" applyFont="1" applyBorder="1"/>
    <xf numFmtId="43" fontId="4" fillId="0" borderId="0" xfId="0" applyNumberFormat="1" applyFont="1"/>
    <xf numFmtId="4" fontId="4" fillId="0" borderId="0" xfId="0" applyNumberFormat="1" applyFont="1" applyFill="1"/>
    <xf numFmtId="2" fontId="4" fillId="0" borderId="0" xfId="0" applyNumberFormat="1" applyFont="1"/>
    <xf numFmtId="2" fontId="3" fillId="0" borderId="0" xfId="0" applyNumberFormat="1" applyFont="1"/>
    <xf numFmtId="0" fontId="13" fillId="0" borderId="0" xfId="0" applyFont="1" applyFill="1" applyBorder="1" applyAlignment="1">
      <alignment horizontal="left" vertical="center"/>
    </xf>
    <xf numFmtId="0" fontId="4" fillId="0" borderId="18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28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3" fillId="0" borderId="3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3" fillId="0" borderId="31" xfId="0" applyFont="1" applyBorder="1" applyAlignment="1">
      <alignment horizontal="center"/>
    </xf>
    <xf numFmtId="0" fontId="4" fillId="0" borderId="33" xfId="0" applyFont="1" applyBorder="1"/>
    <xf numFmtId="0" fontId="4" fillId="0" borderId="34" xfId="0" applyFont="1" applyBorder="1"/>
    <xf numFmtId="4" fontId="3" fillId="0" borderId="25" xfId="0" applyNumberFormat="1" applyFont="1" applyBorder="1" applyAlignment="1">
      <alignment horizontal="right"/>
    </xf>
    <xf numFmtId="4" fontId="3" fillId="0" borderId="11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4" fontId="4" fillId="0" borderId="25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26" xfId="0" applyNumberFormat="1" applyFont="1" applyBorder="1" applyAlignment="1">
      <alignment horizontal="right"/>
    </xf>
    <xf numFmtId="4" fontId="3" fillId="0" borderId="30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4" fontId="3" fillId="0" borderId="29" xfId="0" applyNumberFormat="1" applyFont="1" applyBorder="1" applyAlignment="1">
      <alignment horizontal="right"/>
    </xf>
    <xf numFmtId="0" fontId="3" fillId="0" borderId="11" xfId="0" applyFont="1" applyBorder="1"/>
    <xf numFmtId="4" fontId="13" fillId="0" borderId="11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" fontId="3" fillId="0" borderId="39" xfId="0" applyNumberFormat="1" applyFont="1" applyBorder="1" applyAlignment="1">
      <alignment horizontal="right"/>
    </xf>
  </cellXfs>
  <cellStyles count="22">
    <cellStyle name="Euro" xfId="11"/>
    <cellStyle name="Millares" xfId="3" builtinId="3"/>
    <cellStyle name="Millares 2" xfId="12"/>
    <cellStyle name="Millares 2 2" xfId="13"/>
    <cellStyle name="Millares 2 2 2" xfId="14"/>
    <cellStyle name="Millares 3" xfId="15"/>
    <cellStyle name="Millares 3 2" xfId="16"/>
    <cellStyle name="Millares 7" xfId="17"/>
    <cellStyle name="Nivel1" xfId="1"/>
    <cellStyle name="Nivel2" xfId="5"/>
    <cellStyle name="Nivel3" xfId="6"/>
    <cellStyle name="Nivel4" xfId="7"/>
    <cellStyle name="Nivel5" xfId="8"/>
    <cellStyle name="Nivel6" xfId="9"/>
    <cellStyle name="Nivel7" xfId="10"/>
    <cellStyle name="Normal" xfId="0" builtinId="0"/>
    <cellStyle name="Normal 2" xfId="4"/>
    <cellStyle name="Normal 2 2" xfId="18"/>
    <cellStyle name="Normal 2 2 2" xfId="19"/>
    <cellStyle name="Normal 5" xfId="20"/>
    <cellStyle name="Normal 5 2" xfId="21"/>
    <cellStyle name="SnipRepFormat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95"/>
  <sheetViews>
    <sheetView tabSelected="1" zoomScale="90" zoomScaleNormal="9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4.28515625" style="1" customWidth="1"/>
    <col min="2" max="73" width="18.140625" style="2" customWidth="1"/>
    <col min="74" max="74" width="21.140625" style="2" customWidth="1"/>
    <col min="75" max="81" width="18.140625" style="2" customWidth="1"/>
    <col min="82" max="82" width="21.140625" style="2" customWidth="1"/>
    <col min="83" max="87" width="18.140625" style="2" customWidth="1"/>
  </cols>
  <sheetData>
    <row r="1" spans="1:133" x14ac:dyDescent="0.25">
      <c r="A1" s="44" t="s">
        <v>27</v>
      </c>
      <c r="B1" s="39">
        <v>2002</v>
      </c>
      <c r="C1" s="39"/>
      <c r="D1" s="39"/>
      <c r="E1" s="39"/>
      <c r="F1" s="39"/>
      <c r="G1" s="39"/>
      <c r="H1" s="39"/>
      <c r="I1" s="39">
        <v>2003</v>
      </c>
      <c r="J1" s="39"/>
      <c r="K1" s="39"/>
      <c r="L1" s="39"/>
      <c r="M1" s="39"/>
      <c r="N1" s="39"/>
      <c r="O1" s="39"/>
      <c r="P1" s="39">
        <v>2004</v>
      </c>
      <c r="Q1" s="39"/>
      <c r="R1" s="39"/>
      <c r="S1" s="39"/>
      <c r="T1" s="39"/>
      <c r="U1" s="39"/>
      <c r="V1" s="39"/>
      <c r="W1" s="39">
        <v>2005</v>
      </c>
      <c r="X1" s="39"/>
      <c r="Y1" s="39"/>
      <c r="Z1" s="39"/>
      <c r="AA1" s="39"/>
      <c r="AB1" s="39"/>
      <c r="AC1" s="39"/>
      <c r="AD1" s="39">
        <v>2006</v>
      </c>
      <c r="AE1" s="39"/>
      <c r="AF1" s="39"/>
      <c r="AG1" s="39"/>
      <c r="AH1" s="39"/>
      <c r="AI1" s="39"/>
      <c r="AJ1" s="39"/>
      <c r="AK1" s="39">
        <v>2007</v>
      </c>
      <c r="AL1" s="39"/>
      <c r="AM1" s="39"/>
      <c r="AN1" s="39"/>
      <c r="AO1" s="39"/>
      <c r="AP1" s="39"/>
      <c r="AQ1" s="39"/>
      <c r="AR1" s="39">
        <v>2008</v>
      </c>
      <c r="AS1" s="39"/>
      <c r="AT1" s="39"/>
      <c r="AU1" s="39"/>
      <c r="AV1" s="39"/>
      <c r="AW1" s="39"/>
      <c r="AX1" s="39"/>
      <c r="AY1" s="39">
        <v>2009</v>
      </c>
      <c r="AZ1" s="39"/>
      <c r="BA1" s="39"/>
      <c r="BB1" s="39"/>
      <c r="BC1" s="39"/>
      <c r="BD1" s="39"/>
      <c r="BE1" s="39"/>
      <c r="BF1" s="39">
        <v>2010</v>
      </c>
      <c r="BG1" s="39"/>
      <c r="BH1" s="39"/>
      <c r="BI1" s="39"/>
      <c r="BJ1" s="39"/>
      <c r="BK1" s="39"/>
      <c r="BL1" s="39"/>
      <c r="BM1" s="47">
        <v>2011</v>
      </c>
      <c r="BN1" s="48"/>
      <c r="BO1" s="48"/>
      <c r="BP1" s="48"/>
      <c r="BQ1" s="48"/>
      <c r="BR1" s="48"/>
      <c r="BS1" s="49"/>
      <c r="BT1" s="47">
        <v>2012</v>
      </c>
      <c r="BU1" s="48"/>
      <c r="BV1" s="48"/>
      <c r="BW1" s="48"/>
      <c r="BX1" s="48"/>
      <c r="BY1" s="48"/>
      <c r="BZ1" s="48"/>
      <c r="CA1" s="49"/>
      <c r="CB1" s="47">
        <v>2013</v>
      </c>
      <c r="CC1" s="48"/>
      <c r="CD1" s="48"/>
      <c r="CE1" s="48"/>
      <c r="CF1" s="48"/>
      <c r="CG1" s="48"/>
      <c r="CH1" s="48"/>
      <c r="CI1" s="50"/>
    </row>
    <row r="2" spans="1:133" x14ac:dyDescent="0.25">
      <c r="A2" s="45"/>
      <c r="B2" s="42" t="s">
        <v>29</v>
      </c>
      <c r="C2" s="40"/>
      <c r="D2" s="40"/>
      <c r="E2" s="40" t="s">
        <v>28</v>
      </c>
      <c r="F2" s="40"/>
      <c r="G2" s="40"/>
      <c r="H2" s="53" t="s">
        <v>26</v>
      </c>
      <c r="I2" s="40" t="s">
        <v>29</v>
      </c>
      <c r="J2" s="40"/>
      <c r="K2" s="40"/>
      <c r="L2" s="40" t="s">
        <v>28</v>
      </c>
      <c r="M2" s="40"/>
      <c r="N2" s="40"/>
      <c r="O2" s="53" t="s">
        <v>26</v>
      </c>
      <c r="P2" s="40" t="s">
        <v>29</v>
      </c>
      <c r="Q2" s="40"/>
      <c r="R2" s="40"/>
      <c r="S2" s="40" t="s">
        <v>28</v>
      </c>
      <c r="T2" s="40"/>
      <c r="U2" s="40"/>
      <c r="V2" s="53" t="s">
        <v>26</v>
      </c>
      <c r="W2" s="40" t="s">
        <v>29</v>
      </c>
      <c r="X2" s="40"/>
      <c r="Y2" s="40"/>
      <c r="Z2" s="40" t="s">
        <v>28</v>
      </c>
      <c r="AA2" s="40"/>
      <c r="AB2" s="40"/>
      <c r="AC2" s="53" t="s">
        <v>26</v>
      </c>
      <c r="AD2" s="40" t="s">
        <v>29</v>
      </c>
      <c r="AE2" s="40"/>
      <c r="AF2" s="40"/>
      <c r="AG2" s="40" t="s">
        <v>28</v>
      </c>
      <c r="AH2" s="40"/>
      <c r="AI2" s="40"/>
      <c r="AJ2" s="53" t="s">
        <v>26</v>
      </c>
      <c r="AK2" s="40" t="s">
        <v>29</v>
      </c>
      <c r="AL2" s="40"/>
      <c r="AM2" s="40"/>
      <c r="AN2" s="40" t="s">
        <v>28</v>
      </c>
      <c r="AO2" s="40"/>
      <c r="AP2" s="40"/>
      <c r="AQ2" s="53" t="s">
        <v>26</v>
      </c>
      <c r="AR2" s="40" t="s">
        <v>29</v>
      </c>
      <c r="AS2" s="40"/>
      <c r="AT2" s="40"/>
      <c r="AU2" s="40" t="s">
        <v>28</v>
      </c>
      <c r="AV2" s="40"/>
      <c r="AW2" s="40"/>
      <c r="AX2" s="53" t="s">
        <v>26</v>
      </c>
      <c r="AY2" s="40" t="s">
        <v>29</v>
      </c>
      <c r="AZ2" s="40"/>
      <c r="BA2" s="40"/>
      <c r="BB2" s="40" t="s">
        <v>28</v>
      </c>
      <c r="BC2" s="40"/>
      <c r="BD2" s="40"/>
      <c r="BE2" s="53" t="s">
        <v>26</v>
      </c>
      <c r="BF2" s="40" t="s">
        <v>29</v>
      </c>
      <c r="BG2" s="40"/>
      <c r="BH2" s="40"/>
      <c r="BI2" s="40" t="s">
        <v>28</v>
      </c>
      <c r="BJ2" s="40"/>
      <c r="BK2" s="40"/>
      <c r="BL2" s="53" t="s">
        <v>26</v>
      </c>
      <c r="BM2" s="40" t="s">
        <v>29</v>
      </c>
      <c r="BN2" s="40"/>
      <c r="BO2" s="40"/>
      <c r="BP2" s="40" t="s">
        <v>28</v>
      </c>
      <c r="BQ2" s="40"/>
      <c r="BR2" s="40"/>
      <c r="BS2" s="53" t="s">
        <v>26</v>
      </c>
      <c r="BT2" s="40" t="s">
        <v>29</v>
      </c>
      <c r="BU2" s="40"/>
      <c r="BV2" s="40"/>
      <c r="BW2" s="40"/>
      <c r="BX2" s="40" t="s">
        <v>28</v>
      </c>
      <c r="BY2" s="40"/>
      <c r="BZ2" s="40"/>
      <c r="CA2" s="53" t="s">
        <v>26</v>
      </c>
      <c r="CB2" s="40" t="s">
        <v>29</v>
      </c>
      <c r="CC2" s="40"/>
      <c r="CD2" s="40"/>
      <c r="CE2" s="40"/>
      <c r="CF2" s="40" t="s">
        <v>28</v>
      </c>
      <c r="CG2" s="40"/>
      <c r="CH2" s="40"/>
      <c r="CI2" s="51" t="s">
        <v>26</v>
      </c>
    </row>
    <row r="3" spans="1:133" x14ac:dyDescent="0.25">
      <c r="A3" s="45"/>
      <c r="B3" s="42" t="s">
        <v>30</v>
      </c>
      <c r="C3" s="40" t="s">
        <v>31</v>
      </c>
      <c r="D3" s="40" t="s">
        <v>32</v>
      </c>
      <c r="E3" s="40" t="s">
        <v>33</v>
      </c>
      <c r="F3" s="40" t="s">
        <v>34</v>
      </c>
      <c r="G3" s="40" t="s">
        <v>35</v>
      </c>
      <c r="H3" s="54"/>
      <c r="I3" s="40" t="s">
        <v>30</v>
      </c>
      <c r="J3" s="40" t="s">
        <v>31</v>
      </c>
      <c r="K3" s="40" t="s">
        <v>32</v>
      </c>
      <c r="L3" s="40" t="s">
        <v>33</v>
      </c>
      <c r="M3" s="40" t="s">
        <v>34</v>
      </c>
      <c r="N3" s="40" t="s">
        <v>35</v>
      </c>
      <c r="O3" s="54"/>
      <c r="P3" s="40" t="s">
        <v>30</v>
      </c>
      <c r="Q3" s="40" t="s">
        <v>31</v>
      </c>
      <c r="R3" s="40" t="s">
        <v>32</v>
      </c>
      <c r="S3" s="40" t="s">
        <v>33</v>
      </c>
      <c r="T3" s="40" t="s">
        <v>34</v>
      </c>
      <c r="U3" s="40" t="s">
        <v>35</v>
      </c>
      <c r="V3" s="54"/>
      <c r="W3" s="40" t="s">
        <v>30</v>
      </c>
      <c r="X3" s="40" t="s">
        <v>31</v>
      </c>
      <c r="Y3" s="40" t="s">
        <v>32</v>
      </c>
      <c r="Z3" s="40" t="s">
        <v>33</v>
      </c>
      <c r="AA3" s="40" t="s">
        <v>34</v>
      </c>
      <c r="AB3" s="40" t="s">
        <v>35</v>
      </c>
      <c r="AC3" s="54"/>
      <c r="AD3" s="40" t="s">
        <v>30</v>
      </c>
      <c r="AE3" s="40" t="s">
        <v>31</v>
      </c>
      <c r="AF3" s="40" t="s">
        <v>32</v>
      </c>
      <c r="AG3" s="40" t="s">
        <v>33</v>
      </c>
      <c r="AH3" s="40" t="s">
        <v>34</v>
      </c>
      <c r="AI3" s="40" t="s">
        <v>35</v>
      </c>
      <c r="AJ3" s="54"/>
      <c r="AK3" s="40" t="s">
        <v>30</v>
      </c>
      <c r="AL3" s="40" t="s">
        <v>31</v>
      </c>
      <c r="AM3" s="40" t="s">
        <v>32</v>
      </c>
      <c r="AN3" s="40" t="s">
        <v>33</v>
      </c>
      <c r="AO3" s="40" t="s">
        <v>34</v>
      </c>
      <c r="AP3" s="40" t="s">
        <v>35</v>
      </c>
      <c r="AQ3" s="54"/>
      <c r="AR3" s="40" t="s">
        <v>30</v>
      </c>
      <c r="AS3" s="40" t="s">
        <v>31</v>
      </c>
      <c r="AT3" s="40" t="s">
        <v>32</v>
      </c>
      <c r="AU3" s="40" t="s">
        <v>33</v>
      </c>
      <c r="AV3" s="40" t="s">
        <v>34</v>
      </c>
      <c r="AW3" s="40" t="s">
        <v>35</v>
      </c>
      <c r="AX3" s="54"/>
      <c r="AY3" s="40" t="s">
        <v>30</v>
      </c>
      <c r="AZ3" s="40" t="s">
        <v>31</v>
      </c>
      <c r="BA3" s="40" t="s">
        <v>32</v>
      </c>
      <c r="BB3" s="40" t="s">
        <v>33</v>
      </c>
      <c r="BC3" s="40" t="s">
        <v>34</v>
      </c>
      <c r="BD3" s="40" t="s">
        <v>35</v>
      </c>
      <c r="BE3" s="54"/>
      <c r="BF3" s="40" t="s">
        <v>30</v>
      </c>
      <c r="BG3" s="40" t="s">
        <v>31</v>
      </c>
      <c r="BH3" s="40" t="s">
        <v>32</v>
      </c>
      <c r="BI3" s="40" t="s">
        <v>33</v>
      </c>
      <c r="BJ3" s="40" t="s">
        <v>34</v>
      </c>
      <c r="BK3" s="40" t="s">
        <v>35</v>
      </c>
      <c r="BL3" s="54"/>
      <c r="BM3" s="40" t="s">
        <v>30</v>
      </c>
      <c r="BN3" s="40" t="s">
        <v>31</v>
      </c>
      <c r="BO3" s="40" t="s">
        <v>32</v>
      </c>
      <c r="BP3" s="40" t="s">
        <v>33</v>
      </c>
      <c r="BQ3" s="40" t="s">
        <v>34</v>
      </c>
      <c r="BR3" s="40" t="s">
        <v>35</v>
      </c>
      <c r="BS3" s="54"/>
      <c r="BT3" s="40" t="s">
        <v>30</v>
      </c>
      <c r="BU3" s="40" t="s">
        <v>31</v>
      </c>
      <c r="BV3" s="40" t="s">
        <v>44</v>
      </c>
      <c r="BW3" s="40" t="s">
        <v>32</v>
      </c>
      <c r="BX3" s="40" t="s">
        <v>33</v>
      </c>
      <c r="BY3" s="40" t="s">
        <v>34</v>
      </c>
      <c r="BZ3" s="40" t="s">
        <v>35</v>
      </c>
      <c r="CA3" s="54"/>
      <c r="CB3" s="40" t="s">
        <v>30</v>
      </c>
      <c r="CC3" s="40" t="s">
        <v>31</v>
      </c>
      <c r="CD3" s="40" t="s">
        <v>44</v>
      </c>
      <c r="CE3" s="40" t="s">
        <v>32</v>
      </c>
      <c r="CF3" s="40" t="s">
        <v>33</v>
      </c>
      <c r="CG3" s="40" t="s">
        <v>34</v>
      </c>
      <c r="CH3" s="40" t="s">
        <v>35</v>
      </c>
      <c r="CI3" s="51"/>
    </row>
    <row r="4" spans="1:133" ht="15.75" thickBot="1" x14ac:dyDescent="0.3">
      <c r="A4" s="46"/>
      <c r="B4" s="43"/>
      <c r="C4" s="41"/>
      <c r="D4" s="41"/>
      <c r="E4" s="41"/>
      <c r="F4" s="41"/>
      <c r="G4" s="41"/>
      <c r="H4" s="61"/>
      <c r="I4" s="41"/>
      <c r="J4" s="41"/>
      <c r="K4" s="41"/>
      <c r="L4" s="41"/>
      <c r="M4" s="41"/>
      <c r="N4" s="41"/>
      <c r="O4" s="61"/>
      <c r="P4" s="41"/>
      <c r="Q4" s="41"/>
      <c r="R4" s="41"/>
      <c r="S4" s="41"/>
      <c r="T4" s="41"/>
      <c r="U4" s="41"/>
      <c r="V4" s="61"/>
      <c r="W4" s="41"/>
      <c r="X4" s="41"/>
      <c r="Y4" s="41"/>
      <c r="Z4" s="41"/>
      <c r="AA4" s="41"/>
      <c r="AB4" s="41"/>
      <c r="AC4" s="61"/>
      <c r="AD4" s="41"/>
      <c r="AE4" s="41"/>
      <c r="AF4" s="41"/>
      <c r="AG4" s="41"/>
      <c r="AH4" s="41"/>
      <c r="AI4" s="41"/>
      <c r="AJ4" s="61"/>
      <c r="AK4" s="41"/>
      <c r="AL4" s="41"/>
      <c r="AM4" s="41"/>
      <c r="AN4" s="41"/>
      <c r="AO4" s="41"/>
      <c r="AP4" s="41"/>
      <c r="AQ4" s="61"/>
      <c r="AR4" s="41"/>
      <c r="AS4" s="41"/>
      <c r="AT4" s="41"/>
      <c r="AU4" s="41"/>
      <c r="AV4" s="41"/>
      <c r="AW4" s="41"/>
      <c r="AX4" s="61"/>
      <c r="AY4" s="41"/>
      <c r="AZ4" s="41"/>
      <c r="BA4" s="41"/>
      <c r="BB4" s="41"/>
      <c r="BC4" s="41"/>
      <c r="BD4" s="41"/>
      <c r="BE4" s="61"/>
      <c r="BF4" s="41"/>
      <c r="BG4" s="41"/>
      <c r="BH4" s="41"/>
      <c r="BI4" s="41"/>
      <c r="BJ4" s="41"/>
      <c r="BK4" s="41"/>
      <c r="BL4" s="61"/>
      <c r="BM4" s="41"/>
      <c r="BN4" s="41"/>
      <c r="BO4" s="41"/>
      <c r="BP4" s="41"/>
      <c r="BQ4" s="41"/>
      <c r="BR4" s="41"/>
      <c r="BS4" s="61"/>
      <c r="BT4" s="41"/>
      <c r="BU4" s="41"/>
      <c r="BV4" s="41"/>
      <c r="BW4" s="41"/>
      <c r="BX4" s="41"/>
      <c r="BY4" s="41"/>
      <c r="BZ4" s="41"/>
      <c r="CA4" s="61"/>
      <c r="CB4" s="41"/>
      <c r="CC4" s="41"/>
      <c r="CD4" s="41"/>
      <c r="CE4" s="41"/>
      <c r="CF4" s="41"/>
      <c r="CG4" s="41"/>
      <c r="CH4" s="41"/>
      <c r="CI4" s="52"/>
    </row>
    <row r="5" spans="1:133" s="18" customFormat="1" ht="15.75" thickBot="1" x14ac:dyDescent="0.3">
      <c r="A5" s="17" t="s">
        <v>26</v>
      </c>
      <c r="B5" s="34">
        <v>39539354</v>
      </c>
      <c r="C5" s="34">
        <v>780369921.67999995</v>
      </c>
      <c r="D5" s="34">
        <v>819909275.67999995</v>
      </c>
      <c r="E5" s="34">
        <v>1289907207.22</v>
      </c>
      <c r="F5" s="34">
        <v>1914256132.28</v>
      </c>
      <c r="G5" s="34">
        <v>3204163339.5</v>
      </c>
      <c r="H5" s="34">
        <v>4024072615.1799998</v>
      </c>
      <c r="I5" s="34">
        <v>41915306.579999998</v>
      </c>
      <c r="J5" s="34">
        <v>1042564260.3200001</v>
      </c>
      <c r="K5" s="34">
        <v>1084479566.9000001</v>
      </c>
      <c r="L5" s="34">
        <v>1347848402.0799999</v>
      </c>
      <c r="M5" s="34">
        <v>2176253097.1100001</v>
      </c>
      <c r="N5" s="34">
        <v>3524101499.1900001</v>
      </c>
      <c r="O5" s="34">
        <v>4608581066.0900002</v>
      </c>
      <c r="P5" s="34">
        <f>35.391765*1000000</f>
        <v>35391765</v>
      </c>
      <c r="Q5" s="34">
        <f>1359.015735*1000000</f>
        <v>1359015735</v>
      </c>
      <c r="R5" s="34">
        <f>1394.4075*1000000</f>
        <v>1394407500</v>
      </c>
      <c r="S5" s="34">
        <f>1754.029429*1000000</f>
        <v>1754029429</v>
      </c>
      <c r="T5" s="34">
        <f>2739.25917*1000000</f>
        <v>2739259170</v>
      </c>
      <c r="U5" s="34">
        <f>4493.288599*1000000</f>
        <v>4493288599</v>
      </c>
      <c r="V5" s="34">
        <f>5887.696099*1000000</f>
        <v>5887696099</v>
      </c>
      <c r="W5" s="34">
        <v>168216536</v>
      </c>
      <c r="X5" s="34">
        <v>2082849960</v>
      </c>
      <c r="Y5" s="34">
        <v>2251066496</v>
      </c>
      <c r="Z5" s="34">
        <v>1949998203</v>
      </c>
      <c r="AA5" s="34">
        <v>2809140098</v>
      </c>
      <c r="AB5" s="34">
        <v>4759138301</v>
      </c>
      <c r="AC5" s="34">
        <v>7010204797</v>
      </c>
      <c r="AD5" s="34">
        <f>198.924857*1000000</f>
        <v>198924857</v>
      </c>
      <c r="AE5" s="34">
        <f>2267.357657*1000000</f>
        <v>2267357657</v>
      </c>
      <c r="AF5" s="34">
        <f>2466.282514*1000000</f>
        <v>2466282514</v>
      </c>
      <c r="AG5" s="34">
        <f>2846.895745*1000000</f>
        <v>2846895745</v>
      </c>
      <c r="AH5" s="34">
        <f>3786.412361*1000000</f>
        <v>3786412361</v>
      </c>
      <c r="AI5" s="34">
        <f>6633.308106*1000000</f>
        <v>6633308106</v>
      </c>
      <c r="AJ5" s="34">
        <f>9099.59062*1000000</f>
        <v>9099590620</v>
      </c>
      <c r="AK5" s="34">
        <f>191.230726*1000000</f>
        <v>191230726</v>
      </c>
      <c r="AL5" s="34">
        <f>2704.973509*1000000</f>
        <v>2704973509</v>
      </c>
      <c r="AM5" s="34">
        <v>2896204235</v>
      </c>
      <c r="AN5" s="34">
        <v>2744350287</v>
      </c>
      <c r="AO5" s="34">
        <v>3689719109</v>
      </c>
      <c r="AP5" s="34">
        <v>6434069396</v>
      </c>
      <c r="AQ5" s="34">
        <v>9330273631</v>
      </c>
      <c r="AR5" s="34">
        <v>399095114</v>
      </c>
      <c r="AS5" s="34">
        <v>2476544741</v>
      </c>
      <c r="AT5" s="34">
        <v>2875639855</v>
      </c>
      <c r="AU5" s="34">
        <v>2404637863</v>
      </c>
      <c r="AV5" s="34">
        <v>3789876656</v>
      </c>
      <c r="AW5" s="34">
        <v>6194514519</v>
      </c>
      <c r="AX5" s="34">
        <v>9070154374</v>
      </c>
      <c r="AY5" s="34">
        <f>226.608122*1000000</f>
        <v>226608122</v>
      </c>
      <c r="AZ5" s="34">
        <v>2967926624</v>
      </c>
      <c r="BA5" s="34">
        <v>3194534746</v>
      </c>
      <c r="BB5" s="34">
        <v>1315488096</v>
      </c>
      <c r="BC5" s="34">
        <v>3659234334</v>
      </c>
      <c r="BD5" s="34">
        <v>4974722430</v>
      </c>
      <c r="BE5" s="34">
        <v>8169257176</v>
      </c>
      <c r="BF5" s="34">
        <v>96556094</v>
      </c>
      <c r="BG5" s="34">
        <v>3236661709</v>
      </c>
      <c r="BH5" s="34">
        <v>3333217803</v>
      </c>
      <c r="BI5" s="34">
        <v>1186071698</v>
      </c>
      <c r="BJ5" s="34">
        <v>3428205449</v>
      </c>
      <c r="BK5" s="34">
        <v>4614277147</v>
      </c>
      <c r="BL5" s="34">
        <v>7947494950</v>
      </c>
      <c r="BM5" s="34">
        <v>239090521</v>
      </c>
      <c r="BN5" s="34">
        <v>4254706651.0000005</v>
      </c>
      <c r="BO5" s="34">
        <v>4493797172</v>
      </c>
      <c r="BP5" s="34">
        <v>1669362191</v>
      </c>
      <c r="BQ5" s="34">
        <v>3627397194</v>
      </c>
      <c r="BR5" s="34">
        <v>5296759385</v>
      </c>
      <c r="BS5" s="34">
        <v>9790556557</v>
      </c>
      <c r="BT5" s="34">
        <v>78835702.629999995</v>
      </c>
      <c r="BU5" s="34">
        <v>5374235432</v>
      </c>
      <c r="BV5" s="34">
        <v>1101500</v>
      </c>
      <c r="BW5" s="34">
        <v>5454172634.6300001</v>
      </c>
      <c r="BX5" s="34">
        <v>1985760926.1299999</v>
      </c>
      <c r="BY5" s="34">
        <v>3445003820.8199997</v>
      </c>
      <c r="BZ5" s="34">
        <v>5430764746.9499998</v>
      </c>
      <c r="CA5" s="34">
        <v>10884937381.58</v>
      </c>
      <c r="CB5" s="34">
        <v>81052391.290000007</v>
      </c>
      <c r="CC5" s="34">
        <v>6234121099</v>
      </c>
      <c r="CD5" s="34">
        <v>9515615</v>
      </c>
      <c r="CE5" s="34">
        <v>6324689105.29</v>
      </c>
      <c r="CF5" s="34">
        <v>2031531317.4200001</v>
      </c>
      <c r="CG5" s="34">
        <v>5321070980.3800001</v>
      </c>
      <c r="CH5" s="34">
        <v>7352602297.8000002</v>
      </c>
      <c r="CI5" s="35">
        <v>13677291403.09</v>
      </c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</row>
    <row r="6" spans="1:133" x14ac:dyDescent="0.25">
      <c r="A6" s="14" t="s">
        <v>0</v>
      </c>
      <c r="B6" s="28">
        <v>0</v>
      </c>
      <c r="C6" s="28">
        <v>180841817</v>
      </c>
      <c r="D6" s="28">
        <v>180841817</v>
      </c>
      <c r="E6" s="28">
        <v>136096190</v>
      </c>
      <c r="F6" s="28">
        <v>432667180</v>
      </c>
      <c r="G6" s="28">
        <v>568763370</v>
      </c>
      <c r="H6" s="28">
        <v>749605187</v>
      </c>
      <c r="I6" s="28">
        <v>0</v>
      </c>
      <c r="J6" s="28">
        <v>262842790</v>
      </c>
      <c r="K6" s="28">
        <v>262842790</v>
      </c>
      <c r="L6" s="28">
        <v>42092120</v>
      </c>
      <c r="M6" s="28">
        <v>558920540.01999998</v>
      </c>
      <c r="N6" s="28">
        <v>601012660.01999998</v>
      </c>
      <c r="O6" s="28">
        <v>863855450.01999998</v>
      </c>
      <c r="P6" s="28">
        <v>0</v>
      </c>
      <c r="Q6" s="28">
        <f>318.427276*1000000</f>
        <v>318427276</v>
      </c>
      <c r="R6" s="28">
        <f>318.427276*1000000</f>
        <v>318427276</v>
      </c>
      <c r="S6" s="28">
        <f>112.1206*1000000</f>
        <v>112120600</v>
      </c>
      <c r="T6" s="28">
        <f>609.725254*1000000</f>
        <v>609725254</v>
      </c>
      <c r="U6" s="28">
        <f>721.845854*1000000</f>
        <v>721845854</v>
      </c>
      <c r="V6" s="28">
        <f>1040.27313*1000000</f>
        <v>1040273130</v>
      </c>
      <c r="W6" s="28">
        <v>0</v>
      </c>
      <c r="X6" s="28">
        <v>456403859</v>
      </c>
      <c r="Y6" s="28">
        <v>456403859</v>
      </c>
      <c r="Z6" s="28">
        <v>127058960</v>
      </c>
      <c r="AA6" s="28">
        <v>588369818</v>
      </c>
      <c r="AB6" s="28">
        <v>715428778</v>
      </c>
      <c r="AC6" s="28">
        <v>1171832637</v>
      </c>
      <c r="AD6" s="28">
        <v>0</v>
      </c>
      <c r="AE6" s="28">
        <f>444.028075*1000000</f>
        <v>444028075</v>
      </c>
      <c r="AF6" s="28">
        <f>444.028075*1000000</f>
        <v>444028075</v>
      </c>
      <c r="AG6" s="28">
        <f>209.516779*1000000</f>
        <v>209516779</v>
      </c>
      <c r="AH6" s="28">
        <f>669.481653*1000000</f>
        <v>669481653</v>
      </c>
      <c r="AI6" s="28">
        <f>878.998432*1000000</f>
        <v>878998432</v>
      </c>
      <c r="AJ6" s="28">
        <f>1323.026507*1000000</f>
        <v>1323026507</v>
      </c>
      <c r="AK6" s="28">
        <v>0</v>
      </c>
      <c r="AL6" s="28">
        <f>625.520668*1000000</f>
        <v>625520668</v>
      </c>
      <c r="AM6" s="28">
        <v>625520668</v>
      </c>
      <c r="AN6" s="28">
        <v>290530988</v>
      </c>
      <c r="AO6" s="28">
        <v>865513486</v>
      </c>
      <c r="AP6" s="28">
        <v>1156044474</v>
      </c>
      <c r="AQ6" s="28">
        <v>1781565142</v>
      </c>
      <c r="AR6" s="28">
        <v>0</v>
      </c>
      <c r="AS6" s="28">
        <v>344398189</v>
      </c>
      <c r="AT6" s="28">
        <v>344398189</v>
      </c>
      <c r="AU6" s="28">
        <v>378974455</v>
      </c>
      <c r="AV6" s="28">
        <v>1025251483</v>
      </c>
      <c r="AW6" s="28">
        <v>1404225938</v>
      </c>
      <c r="AX6" s="28">
        <v>1748624127</v>
      </c>
      <c r="AY6" s="28">
        <v>0</v>
      </c>
      <c r="AZ6" s="28">
        <v>541152845</v>
      </c>
      <c r="BA6" s="28">
        <v>541152845</v>
      </c>
      <c r="BB6" s="28">
        <v>251712547</v>
      </c>
      <c r="BC6" s="28">
        <v>1250047945</v>
      </c>
      <c r="BD6" s="28">
        <v>1501760492</v>
      </c>
      <c r="BE6" s="28">
        <v>2042913337</v>
      </c>
      <c r="BF6" s="28">
        <v>0</v>
      </c>
      <c r="BG6" s="28">
        <v>659288893</v>
      </c>
      <c r="BH6" s="28">
        <v>659288893</v>
      </c>
      <c r="BI6" s="28">
        <v>257527542.99999997</v>
      </c>
      <c r="BJ6" s="28">
        <v>1464969109</v>
      </c>
      <c r="BK6" s="28">
        <v>1722496652</v>
      </c>
      <c r="BL6" s="28">
        <v>2381785545</v>
      </c>
      <c r="BM6" s="28">
        <v>0</v>
      </c>
      <c r="BN6" s="28">
        <v>886142247</v>
      </c>
      <c r="BO6" s="28">
        <v>886142247</v>
      </c>
      <c r="BP6" s="28">
        <v>404020597</v>
      </c>
      <c r="BQ6" s="28">
        <v>1329387097</v>
      </c>
      <c r="BR6" s="28">
        <v>1733407694</v>
      </c>
      <c r="BS6" s="28">
        <v>2619549941</v>
      </c>
      <c r="BT6" s="28">
        <v>0</v>
      </c>
      <c r="BU6" s="28">
        <v>942916714</v>
      </c>
      <c r="BV6" s="28">
        <v>0</v>
      </c>
      <c r="BW6" s="28">
        <v>942916714</v>
      </c>
      <c r="BX6" s="28">
        <v>1037310366.9499999</v>
      </c>
      <c r="BY6" s="28">
        <v>946619206</v>
      </c>
      <c r="BZ6" s="28">
        <v>1983929572.95</v>
      </c>
      <c r="CA6" s="28">
        <v>2926846286.9499998</v>
      </c>
      <c r="CB6" s="28">
        <v>0</v>
      </c>
      <c r="CC6" s="28">
        <v>1118496432</v>
      </c>
      <c r="CD6" s="28">
        <v>0</v>
      </c>
      <c r="CE6" s="28">
        <v>1118496432</v>
      </c>
      <c r="CF6" s="28">
        <v>805135938</v>
      </c>
      <c r="CG6" s="28">
        <v>1174355035</v>
      </c>
      <c r="CH6" s="28">
        <v>1979490973</v>
      </c>
      <c r="CI6" s="29">
        <v>3097987405</v>
      </c>
    </row>
    <row r="7" spans="1:133" x14ac:dyDescent="0.25">
      <c r="A7" s="14" t="s">
        <v>1</v>
      </c>
      <c r="B7" s="28">
        <v>39539354</v>
      </c>
      <c r="C7" s="28">
        <v>23857610.440000001</v>
      </c>
      <c r="D7" s="28">
        <v>63396964.439999998</v>
      </c>
      <c r="E7" s="28">
        <v>213826707.19999999</v>
      </c>
      <c r="F7" s="28">
        <v>203516740</v>
      </c>
      <c r="G7" s="28">
        <v>417343447.19999999</v>
      </c>
      <c r="H7" s="28">
        <v>480740411.63999999</v>
      </c>
      <c r="I7" s="28">
        <v>41915306.579999998</v>
      </c>
      <c r="J7" s="28">
        <v>23094523.829999998</v>
      </c>
      <c r="K7" s="28">
        <v>65009830.409999996</v>
      </c>
      <c r="L7" s="28">
        <v>259418078.94</v>
      </c>
      <c r="M7" s="28">
        <v>140544630</v>
      </c>
      <c r="N7" s="28">
        <v>399962708.94</v>
      </c>
      <c r="O7" s="28">
        <v>464972539.35000002</v>
      </c>
      <c r="P7" s="28">
        <f>35.391765*1000000</f>
        <v>35391765</v>
      </c>
      <c r="Q7" s="28">
        <f>31.778703*1000000</f>
        <v>31778703</v>
      </c>
      <c r="R7" s="28">
        <f>67.170468*1000000</f>
        <v>67170468</v>
      </c>
      <c r="S7" s="28">
        <f>343.671118*1000000</f>
        <v>343671118</v>
      </c>
      <c r="T7" s="28">
        <f>144.211461*1000000</f>
        <v>144211461</v>
      </c>
      <c r="U7" s="28">
        <f>487.882579*1000000</f>
        <v>487882579</v>
      </c>
      <c r="V7" s="28">
        <f>555.053047*1000000</f>
        <v>555053047</v>
      </c>
      <c r="W7" s="28">
        <v>35931286</v>
      </c>
      <c r="X7" s="28">
        <v>15731606</v>
      </c>
      <c r="Y7" s="28">
        <v>51662892</v>
      </c>
      <c r="Z7" s="28">
        <v>253788470</v>
      </c>
      <c r="AA7" s="28">
        <v>248253500</v>
      </c>
      <c r="AB7" s="28">
        <v>502041970</v>
      </c>
      <c r="AC7" s="28">
        <v>553704862</v>
      </c>
      <c r="AD7" s="28">
        <f>37.945427*1000000</f>
        <v>37945427</v>
      </c>
      <c r="AE7" s="28">
        <f>12.39846*1000000</f>
        <v>12398460</v>
      </c>
      <c r="AF7" s="28">
        <f>50.343887*1000000</f>
        <v>50343887</v>
      </c>
      <c r="AG7" s="28">
        <f>322.78416*1000000</f>
        <v>322784160</v>
      </c>
      <c r="AH7" s="28">
        <f>264.410926*1000000</f>
        <v>264410926.00000003</v>
      </c>
      <c r="AI7" s="28">
        <f>587.195086*1000000</f>
        <v>587195086</v>
      </c>
      <c r="AJ7" s="28">
        <f>637.538973*1000000</f>
        <v>637538973</v>
      </c>
      <c r="AK7" s="28">
        <v>24.613340000000001</v>
      </c>
      <c r="AL7" s="28">
        <f>59.206031*1000000</f>
        <v>59206031</v>
      </c>
      <c r="AM7" s="28">
        <v>83819371</v>
      </c>
      <c r="AN7" s="28">
        <v>264572725</v>
      </c>
      <c r="AO7" s="28">
        <v>579406855</v>
      </c>
      <c r="AP7" s="28">
        <v>843979580</v>
      </c>
      <c r="AQ7" s="28">
        <v>927798951</v>
      </c>
      <c r="AR7" s="28">
        <v>32485452.000000004</v>
      </c>
      <c r="AS7" s="28">
        <v>44870386</v>
      </c>
      <c r="AT7" s="28">
        <v>77355838</v>
      </c>
      <c r="AU7" s="28">
        <v>467296414</v>
      </c>
      <c r="AV7" s="28">
        <v>668899778</v>
      </c>
      <c r="AW7" s="28">
        <v>1136196192</v>
      </c>
      <c r="AX7" s="28">
        <v>1213552030</v>
      </c>
      <c r="AY7" s="28">
        <f>25.364893*1000000</f>
        <v>25364893</v>
      </c>
      <c r="AZ7" s="28">
        <v>106367670</v>
      </c>
      <c r="BA7" s="28">
        <v>131732563</v>
      </c>
      <c r="BB7" s="28">
        <v>354953734</v>
      </c>
      <c r="BC7" s="28">
        <v>929637350</v>
      </c>
      <c r="BD7" s="28">
        <v>1284591084</v>
      </c>
      <c r="BE7" s="28">
        <v>1416323647</v>
      </c>
      <c r="BF7" s="28">
        <v>10940490</v>
      </c>
      <c r="BG7" s="28">
        <v>55020000</v>
      </c>
      <c r="BH7" s="28">
        <v>65960489.999999993</v>
      </c>
      <c r="BI7" s="28">
        <v>361998818</v>
      </c>
      <c r="BJ7" s="28">
        <v>533266270.99999994</v>
      </c>
      <c r="BK7" s="28">
        <v>895265089</v>
      </c>
      <c r="BL7" s="28">
        <v>961225579</v>
      </c>
      <c r="BM7" s="28">
        <v>13603752</v>
      </c>
      <c r="BN7" s="28">
        <v>119771000</v>
      </c>
      <c r="BO7" s="28">
        <v>133374752</v>
      </c>
      <c r="BP7" s="28">
        <v>382063142</v>
      </c>
      <c r="BQ7" s="28">
        <v>377733794</v>
      </c>
      <c r="BR7" s="28">
        <v>759796936</v>
      </c>
      <c r="BS7" s="28">
        <v>893171688</v>
      </c>
      <c r="BT7" s="28">
        <v>28714107</v>
      </c>
      <c r="BU7" s="28">
        <v>88546000</v>
      </c>
      <c r="BV7" s="28">
        <v>0</v>
      </c>
      <c r="BW7" s="28">
        <v>117260107</v>
      </c>
      <c r="BX7" s="28">
        <v>209391116.87</v>
      </c>
      <c r="BY7" s="28">
        <v>436570560</v>
      </c>
      <c r="BZ7" s="28">
        <v>645961676.87</v>
      </c>
      <c r="CA7" s="28">
        <v>763221783.87</v>
      </c>
      <c r="CB7" s="28">
        <v>7937713.9400000004</v>
      </c>
      <c r="CC7" s="28">
        <v>107910000</v>
      </c>
      <c r="CD7" s="28">
        <v>0</v>
      </c>
      <c r="CE7" s="28">
        <v>115847713.94000001</v>
      </c>
      <c r="CF7" s="28">
        <v>303830963</v>
      </c>
      <c r="CG7" s="28">
        <v>463642310.25999999</v>
      </c>
      <c r="CH7" s="28">
        <v>767473273.25999999</v>
      </c>
      <c r="CI7" s="29">
        <v>883320987.20000005</v>
      </c>
    </row>
    <row r="8" spans="1:133" x14ac:dyDescent="0.25">
      <c r="A8" s="14" t="s">
        <v>2</v>
      </c>
      <c r="B8" s="28">
        <v>0</v>
      </c>
      <c r="C8" s="28">
        <v>7734882.0999999996</v>
      </c>
      <c r="D8" s="28">
        <v>7734882.0999999996</v>
      </c>
      <c r="E8" s="28">
        <v>18444024.719999999</v>
      </c>
      <c r="F8" s="28">
        <v>11713789.869999999</v>
      </c>
      <c r="G8" s="28">
        <v>30157814.59</v>
      </c>
      <c r="H8" s="28">
        <v>37892696.689999998</v>
      </c>
      <c r="I8" s="28">
        <v>0</v>
      </c>
      <c r="J8" s="28">
        <v>9746400</v>
      </c>
      <c r="K8" s="28">
        <v>9746400</v>
      </c>
      <c r="L8" s="28">
        <v>17594700.140000001</v>
      </c>
      <c r="M8" s="28">
        <v>777902.94</v>
      </c>
      <c r="N8" s="28">
        <v>18372603.079999998</v>
      </c>
      <c r="O8" s="28">
        <v>28119003.079999998</v>
      </c>
      <c r="P8" s="28">
        <v>0</v>
      </c>
      <c r="Q8" s="28">
        <f>9.764*1000000</f>
        <v>9764000</v>
      </c>
      <c r="R8" s="28">
        <f>9.764*1000000</f>
        <v>9764000</v>
      </c>
      <c r="S8" s="28">
        <f>12.416304*1000000</f>
        <v>12416304</v>
      </c>
      <c r="T8" s="28">
        <f>0.8*1000000</f>
        <v>800000</v>
      </c>
      <c r="U8" s="28">
        <f>13.216304*1000000</f>
        <v>13216304</v>
      </c>
      <c r="V8" s="28">
        <f>22.980304*1000000</f>
        <v>22980304</v>
      </c>
      <c r="W8" s="28">
        <v>0</v>
      </c>
      <c r="X8" s="28">
        <v>9750000</v>
      </c>
      <c r="Y8" s="28">
        <v>9750000</v>
      </c>
      <c r="Z8" s="28">
        <v>15650000</v>
      </c>
      <c r="AA8" s="28">
        <v>800000</v>
      </c>
      <c r="AB8" s="28">
        <v>16450000</v>
      </c>
      <c r="AC8" s="28">
        <v>26200000</v>
      </c>
      <c r="AD8" s="28">
        <v>0</v>
      </c>
      <c r="AE8" s="28">
        <f>8.914*1000000</f>
        <v>8914000</v>
      </c>
      <c r="AF8" s="28">
        <f>8.914*1000000</f>
        <v>8914000</v>
      </c>
      <c r="AG8" s="28">
        <f>9.3*1000000</f>
        <v>9300000</v>
      </c>
      <c r="AH8" s="28">
        <f>0.9*1000000</f>
        <v>900000</v>
      </c>
      <c r="AI8" s="28">
        <f>10.2*1000000</f>
        <v>10200000</v>
      </c>
      <c r="AJ8" s="28">
        <f>19.114*1000000</f>
        <v>19114000</v>
      </c>
      <c r="AK8" s="28">
        <v>0</v>
      </c>
      <c r="AL8" s="28">
        <f>8.670485*1000000</f>
        <v>8670485</v>
      </c>
      <c r="AM8" s="28">
        <v>8670485</v>
      </c>
      <c r="AN8" s="28">
        <v>8867087</v>
      </c>
      <c r="AO8" s="28">
        <v>0</v>
      </c>
      <c r="AP8" s="28">
        <v>8867087</v>
      </c>
      <c r="AQ8" s="28">
        <v>17537572</v>
      </c>
      <c r="AR8" s="28">
        <v>0</v>
      </c>
      <c r="AS8" s="28">
        <v>5497132</v>
      </c>
      <c r="AT8" s="28">
        <v>5497132</v>
      </c>
      <c r="AU8" s="28">
        <v>0</v>
      </c>
      <c r="AV8" s="28">
        <v>0</v>
      </c>
      <c r="AW8" s="28">
        <v>0</v>
      </c>
      <c r="AX8" s="28">
        <v>5497132</v>
      </c>
      <c r="AY8" s="28">
        <v>0</v>
      </c>
      <c r="AZ8" s="28">
        <v>12687995</v>
      </c>
      <c r="BA8" s="28">
        <v>12687995</v>
      </c>
      <c r="BB8" s="28">
        <v>0</v>
      </c>
      <c r="BC8" s="28">
        <v>0</v>
      </c>
      <c r="BD8" s="28">
        <v>0</v>
      </c>
      <c r="BE8" s="28">
        <v>12687995</v>
      </c>
      <c r="BF8" s="28">
        <v>0</v>
      </c>
      <c r="BG8" s="28">
        <v>7130995</v>
      </c>
      <c r="BH8" s="28">
        <v>7130995</v>
      </c>
      <c r="BI8" s="28">
        <v>0</v>
      </c>
      <c r="BJ8" s="28">
        <v>0</v>
      </c>
      <c r="BK8" s="28">
        <v>0</v>
      </c>
      <c r="BL8" s="28">
        <v>7130995</v>
      </c>
      <c r="BM8" s="28">
        <v>0</v>
      </c>
      <c r="BN8" s="28">
        <v>7487032</v>
      </c>
      <c r="BO8" s="28">
        <v>7487032</v>
      </c>
      <c r="BP8" s="28">
        <v>0</v>
      </c>
      <c r="BQ8" s="28">
        <v>0</v>
      </c>
      <c r="BR8" s="28">
        <v>0</v>
      </c>
      <c r="BS8" s="28">
        <v>7487032</v>
      </c>
      <c r="BT8" s="28">
        <v>0</v>
      </c>
      <c r="BU8" s="28">
        <v>7827000</v>
      </c>
      <c r="BV8" s="28">
        <v>0</v>
      </c>
      <c r="BW8" s="28">
        <v>7827000</v>
      </c>
      <c r="BX8" s="28">
        <v>0</v>
      </c>
      <c r="BY8" s="28">
        <v>0</v>
      </c>
      <c r="BZ8" s="28">
        <v>0</v>
      </c>
      <c r="CA8" s="28">
        <v>7827000</v>
      </c>
      <c r="CB8" s="28">
        <v>0</v>
      </c>
      <c r="CC8" s="28">
        <v>7165000</v>
      </c>
      <c r="CD8" s="28">
        <v>0</v>
      </c>
      <c r="CE8" s="28">
        <v>7165000</v>
      </c>
      <c r="CF8" s="28">
        <v>0</v>
      </c>
      <c r="CG8" s="28">
        <v>0</v>
      </c>
      <c r="CH8" s="28">
        <v>0</v>
      </c>
      <c r="CI8" s="29">
        <v>7165000</v>
      </c>
    </row>
    <row r="9" spans="1:133" x14ac:dyDescent="0.25">
      <c r="A9" s="14" t="s">
        <v>3</v>
      </c>
      <c r="B9" s="28">
        <v>0</v>
      </c>
      <c r="C9" s="28">
        <v>6000000</v>
      </c>
      <c r="D9" s="28">
        <v>6000000</v>
      </c>
      <c r="E9" s="28">
        <v>0</v>
      </c>
      <c r="F9" s="28">
        <v>0</v>
      </c>
      <c r="G9" s="28">
        <v>0</v>
      </c>
      <c r="H9" s="28">
        <v>6000000</v>
      </c>
      <c r="I9" s="28">
        <v>0</v>
      </c>
      <c r="J9" s="28">
        <v>5644431.9400000004</v>
      </c>
      <c r="K9" s="28">
        <v>5644431.9400000004</v>
      </c>
      <c r="L9" s="28">
        <v>0</v>
      </c>
      <c r="M9" s="28">
        <v>33932700</v>
      </c>
      <c r="N9" s="28">
        <v>33932700</v>
      </c>
      <c r="O9" s="28">
        <v>39577131.939999998</v>
      </c>
      <c r="P9" s="28">
        <v>0</v>
      </c>
      <c r="Q9" s="28">
        <f>20.061*1000000</f>
        <v>20061000</v>
      </c>
      <c r="R9" s="28">
        <f>20.061*1000000</f>
        <v>20061000</v>
      </c>
      <c r="S9" s="28">
        <f>4.35342*1000000</f>
        <v>4353420</v>
      </c>
      <c r="T9" s="28">
        <f>122.8116*1000000</f>
        <v>122811600</v>
      </c>
      <c r="U9" s="28">
        <f>127.16502*1000000</f>
        <v>127165020</v>
      </c>
      <c r="V9" s="28">
        <f>147.22602*1000000</f>
        <v>147226020</v>
      </c>
      <c r="W9" s="28">
        <v>0</v>
      </c>
      <c r="X9" s="28">
        <v>19070304</v>
      </c>
      <c r="Y9" s="28">
        <v>19070304</v>
      </c>
      <c r="Z9" s="28">
        <v>0</v>
      </c>
      <c r="AA9" s="28">
        <v>83700569</v>
      </c>
      <c r="AB9" s="28">
        <v>83700569</v>
      </c>
      <c r="AC9" s="28">
        <v>102770873</v>
      </c>
      <c r="AD9" s="28">
        <v>0</v>
      </c>
      <c r="AE9" s="28">
        <f>25.058371*1000000</f>
        <v>25058371</v>
      </c>
      <c r="AF9" s="28">
        <f>25.058371*1000000</f>
        <v>25058371</v>
      </c>
      <c r="AG9" s="28">
        <f>22.532414*1000000</f>
        <v>22532414</v>
      </c>
      <c r="AH9" s="28">
        <f>148.771316*1000000</f>
        <v>148771316</v>
      </c>
      <c r="AI9" s="28">
        <f>171.30373*1000000</f>
        <v>171303730</v>
      </c>
      <c r="AJ9" s="28">
        <f>196.362101*1000000</f>
        <v>196362101</v>
      </c>
      <c r="AK9" s="28">
        <v>0</v>
      </c>
      <c r="AL9" s="28">
        <f>12.037378*1000000</f>
        <v>12037378</v>
      </c>
      <c r="AM9" s="28">
        <v>12037378</v>
      </c>
      <c r="AN9" s="28">
        <v>0</v>
      </c>
      <c r="AO9" s="28">
        <v>21122173</v>
      </c>
      <c r="AP9" s="28">
        <v>21122173</v>
      </c>
      <c r="AQ9" s="28">
        <v>33159551</v>
      </c>
      <c r="AR9" s="28">
        <v>0</v>
      </c>
      <c r="AS9" s="28">
        <v>11520000</v>
      </c>
      <c r="AT9" s="28">
        <v>11520000</v>
      </c>
      <c r="AU9" s="28">
        <v>2085500.0000000002</v>
      </c>
      <c r="AV9" s="28">
        <v>97000000</v>
      </c>
      <c r="AW9" s="28">
        <v>99085500</v>
      </c>
      <c r="AX9" s="28">
        <v>110605500</v>
      </c>
      <c r="AY9" s="28">
        <v>0</v>
      </c>
      <c r="AZ9" s="28">
        <v>3487467</v>
      </c>
      <c r="BA9" s="28">
        <v>3487467</v>
      </c>
      <c r="BB9" s="28">
        <v>0</v>
      </c>
      <c r="BC9" s="28">
        <v>125023269</v>
      </c>
      <c r="BD9" s="28">
        <v>125023269</v>
      </c>
      <c r="BE9" s="28">
        <v>128510736.00000001</v>
      </c>
      <c r="BF9" s="28">
        <v>0</v>
      </c>
      <c r="BG9" s="28">
        <v>3488000</v>
      </c>
      <c r="BH9" s="28">
        <v>3488000</v>
      </c>
      <c r="BI9" s="28">
        <v>0</v>
      </c>
      <c r="BJ9" s="28">
        <v>103071832</v>
      </c>
      <c r="BK9" s="28">
        <v>103071832</v>
      </c>
      <c r="BL9" s="28">
        <v>106559832</v>
      </c>
      <c r="BM9" s="28">
        <v>0</v>
      </c>
      <c r="BN9" s="28">
        <v>85200000</v>
      </c>
      <c r="BO9" s="28">
        <v>85200000</v>
      </c>
      <c r="BP9" s="28">
        <v>0</v>
      </c>
      <c r="BQ9" s="28">
        <v>28530763</v>
      </c>
      <c r="BR9" s="28">
        <v>28530763</v>
      </c>
      <c r="BS9" s="28">
        <v>113730763</v>
      </c>
      <c r="BT9" s="28">
        <v>0</v>
      </c>
      <c r="BU9" s="28">
        <v>98770000</v>
      </c>
      <c r="BV9" s="28">
        <v>0</v>
      </c>
      <c r="BW9" s="28">
        <v>98770000</v>
      </c>
      <c r="BX9" s="28">
        <v>0</v>
      </c>
      <c r="BY9" s="28">
        <v>95626068</v>
      </c>
      <c r="BZ9" s="28">
        <v>95626068</v>
      </c>
      <c r="CA9" s="28">
        <v>194396068</v>
      </c>
      <c r="CB9" s="28">
        <v>0</v>
      </c>
      <c r="CC9" s="28">
        <v>50000000</v>
      </c>
      <c r="CD9" s="28">
        <v>0</v>
      </c>
      <c r="CE9" s="28">
        <v>50000000</v>
      </c>
      <c r="CF9" s="28">
        <v>0</v>
      </c>
      <c r="CG9" s="28">
        <v>126803625</v>
      </c>
      <c r="CH9" s="28">
        <v>126803625</v>
      </c>
      <c r="CI9" s="29">
        <v>176803625</v>
      </c>
    </row>
    <row r="10" spans="1:133" x14ac:dyDescent="0.25">
      <c r="A10" s="14" t="s">
        <v>4</v>
      </c>
      <c r="B10" s="28">
        <v>0</v>
      </c>
      <c r="C10" s="28">
        <v>35329537</v>
      </c>
      <c r="D10" s="28">
        <v>35329537</v>
      </c>
      <c r="E10" s="28">
        <v>140202979</v>
      </c>
      <c r="F10" s="28">
        <v>39710709</v>
      </c>
      <c r="G10" s="28">
        <v>179913688</v>
      </c>
      <c r="H10" s="28">
        <v>215243225</v>
      </c>
      <c r="I10" s="28">
        <v>0</v>
      </c>
      <c r="J10" s="28">
        <v>73981800</v>
      </c>
      <c r="K10" s="28">
        <v>73981800</v>
      </c>
      <c r="L10" s="28">
        <v>209904779.44999999</v>
      </c>
      <c r="M10" s="28">
        <v>154633200</v>
      </c>
      <c r="N10" s="28">
        <v>364537979.44999999</v>
      </c>
      <c r="O10" s="28">
        <v>438519779.44999999</v>
      </c>
      <c r="P10" s="28">
        <v>0</v>
      </c>
      <c r="Q10" s="28">
        <f>78.797312*1000000</f>
        <v>78797312</v>
      </c>
      <c r="R10" s="28">
        <f>78.797312*1000000</f>
        <v>78797312</v>
      </c>
      <c r="S10" s="28">
        <f>245.466904*1000000</f>
        <v>245466904</v>
      </c>
      <c r="T10" s="28">
        <f>199.280906*1000000</f>
        <v>199280906</v>
      </c>
      <c r="U10" s="28">
        <f>444.74781*1000000</f>
        <v>444747810</v>
      </c>
      <c r="V10" s="28">
        <f>523.545122*1000000</f>
        <v>523545122</v>
      </c>
      <c r="W10" s="28">
        <v>0</v>
      </c>
      <c r="X10" s="28">
        <v>92106310</v>
      </c>
      <c r="Y10" s="28">
        <v>92106310</v>
      </c>
      <c r="Z10" s="28">
        <v>302235800</v>
      </c>
      <c r="AA10" s="28">
        <v>130494801</v>
      </c>
      <c r="AB10" s="28">
        <v>432730601</v>
      </c>
      <c r="AC10" s="28">
        <v>524836911</v>
      </c>
      <c r="AD10" s="28">
        <v>0</v>
      </c>
      <c r="AE10" s="28">
        <f>186.2*1000000</f>
        <v>186200000</v>
      </c>
      <c r="AF10" s="28">
        <f>186.2*1000000</f>
        <v>186200000</v>
      </c>
      <c r="AG10" s="28">
        <f>360.078577*1000000</f>
        <v>360078577</v>
      </c>
      <c r="AH10" s="28">
        <f>150.657334*1000000</f>
        <v>150657334</v>
      </c>
      <c r="AI10" s="28">
        <f>510.735911*1000000</f>
        <v>510735911</v>
      </c>
      <c r="AJ10" s="28">
        <f>696.935911*1000000</f>
        <v>696935911</v>
      </c>
      <c r="AK10" s="28">
        <v>0</v>
      </c>
      <c r="AL10" s="28">
        <f>132.623747*1000000</f>
        <v>132623747.00000001</v>
      </c>
      <c r="AM10" s="28">
        <v>132623747.00000001</v>
      </c>
      <c r="AN10" s="28">
        <v>470317317</v>
      </c>
      <c r="AO10" s="28">
        <v>181329495</v>
      </c>
      <c r="AP10" s="28">
        <v>651646812</v>
      </c>
      <c r="AQ10" s="28">
        <v>784270559</v>
      </c>
      <c r="AR10" s="28">
        <v>0</v>
      </c>
      <c r="AS10" s="28">
        <v>101565234</v>
      </c>
      <c r="AT10" s="28">
        <v>101565234</v>
      </c>
      <c r="AU10" s="28">
        <v>331265031</v>
      </c>
      <c r="AV10" s="28">
        <v>93533171</v>
      </c>
      <c r="AW10" s="28">
        <v>424798202</v>
      </c>
      <c r="AX10" s="28">
        <v>526363436</v>
      </c>
      <c r="AY10" s="28">
        <v>0</v>
      </c>
      <c r="AZ10" s="28">
        <v>183899991</v>
      </c>
      <c r="BA10" s="28">
        <v>183899991</v>
      </c>
      <c r="BB10" s="28">
        <v>95203998</v>
      </c>
      <c r="BC10" s="28">
        <v>199001794</v>
      </c>
      <c r="BD10" s="28">
        <v>294205792</v>
      </c>
      <c r="BE10" s="28">
        <v>478105783</v>
      </c>
      <c r="BF10" s="28">
        <v>0</v>
      </c>
      <c r="BG10" s="28">
        <v>116174991</v>
      </c>
      <c r="BH10" s="28">
        <v>116174991</v>
      </c>
      <c r="BI10" s="28">
        <v>11891852</v>
      </c>
      <c r="BJ10" s="28">
        <v>124575059</v>
      </c>
      <c r="BK10" s="28">
        <v>136466911</v>
      </c>
      <c r="BL10" s="28">
        <v>252641902</v>
      </c>
      <c r="BM10" s="28">
        <v>0</v>
      </c>
      <c r="BN10" s="28">
        <v>159978736</v>
      </c>
      <c r="BO10" s="28">
        <v>159978736</v>
      </c>
      <c r="BP10" s="28">
        <v>27457276</v>
      </c>
      <c r="BQ10" s="28">
        <v>1659080</v>
      </c>
      <c r="BR10" s="28">
        <v>29116356</v>
      </c>
      <c r="BS10" s="28">
        <v>189095092</v>
      </c>
      <c r="BT10" s="28">
        <v>0</v>
      </c>
      <c r="BU10" s="28">
        <v>230199407</v>
      </c>
      <c r="BV10" s="28">
        <v>0</v>
      </c>
      <c r="BW10" s="28">
        <v>230199407</v>
      </c>
      <c r="BX10" s="28">
        <v>62911590</v>
      </c>
      <c r="BY10" s="28">
        <v>67108303.000000007</v>
      </c>
      <c r="BZ10" s="28">
        <v>130019893</v>
      </c>
      <c r="CA10" s="28">
        <v>360219300</v>
      </c>
      <c r="CB10" s="28">
        <v>0</v>
      </c>
      <c r="CC10" s="28">
        <v>318395907</v>
      </c>
      <c r="CD10" s="28">
        <v>0</v>
      </c>
      <c r="CE10" s="28">
        <v>318395907</v>
      </c>
      <c r="CF10" s="28">
        <v>60318590</v>
      </c>
      <c r="CG10" s="28">
        <v>195007654</v>
      </c>
      <c r="CH10" s="28">
        <v>255326244</v>
      </c>
      <c r="CI10" s="29">
        <v>573722151</v>
      </c>
    </row>
    <row r="11" spans="1:133" x14ac:dyDescent="0.25">
      <c r="A11" s="14" t="s">
        <v>66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f>15.134958*1000000</f>
        <v>15134958</v>
      </c>
      <c r="R11" s="28">
        <f>15.134958*1000000</f>
        <v>15134958</v>
      </c>
      <c r="S11" s="28">
        <v>0</v>
      </c>
      <c r="T11" s="28">
        <f>8*1000000</f>
        <v>8000000</v>
      </c>
      <c r="U11" s="28">
        <f>8*1000000</f>
        <v>8000000</v>
      </c>
      <c r="V11" s="28">
        <f>23.134958*1000000</f>
        <v>23134958</v>
      </c>
      <c r="W11" s="28">
        <v>0</v>
      </c>
      <c r="X11" s="28">
        <v>20976260</v>
      </c>
      <c r="Y11" s="28">
        <v>20976260</v>
      </c>
      <c r="Z11" s="28">
        <v>24693300</v>
      </c>
      <c r="AA11" s="28">
        <v>1708290</v>
      </c>
      <c r="AB11" s="28">
        <v>26401590</v>
      </c>
      <c r="AC11" s="28">
        <v>47377850</v>
      </c>
      <c r="AD11" s="28">
        <v>0</v>
      </c>
      <c r="AE11" s="28">
        <f>28.955624*1000000</f>
        <v>28955624</v>
      </c>
      <c r="AF11" s="28">
        <f>28.955624*1000000</f>
        <v>28955624</v>
      </c>
      <c r="AG11" s="28">
        <f>21.183*1000000</f>
        <v>21183000</v>
      </c>
      <c r="AH11" s="28">
        <v>0</v>
      </c>
      <c r="AI11" s="28">
        <f>21.183*1000000</f>
        <v>21183000</v>
      </c>
      <c r="AJ11" s="28">
        <f>50.138624*1000000</f>
        <v>50138624</v>
      </c>
      <c r="AK11" s="28">
        <v>0</v>
      </c>
      <c r="AL11" s="28">
        <f>26.0038*1000000</f>
        <v>26003800</v>
      </c>
      <c r="AM11" s="28">
        <v>26003800</v>
      </c>
      <c r="AN11" s="28">
        <v>19136000</v>
      </c>
      <c r="AO11" s="28">
        <v>0</v>
      </c>
      <c r="AP11" s="28">
        <v>19136000</v>
      </c>
      <c r="AQ11" s="28">
        <v>45139800</v>
      </c>
      <c r="AR11" s="28">
        <v>0</v>
      </c>
      <c r="AS11" s="28">
        <v>25085000</v>
      </c>
      <c r="AT11" s="28">
        <v>25085000</v>
      </c>
      <c r="AU11" s="28">
        <v>0</v>
      </c>
      <c r="AV11" s="28">
        <v>49988890</v>
      </c>
      <c r="AW11" s="28">
        <v>49988890</v>
      </c>
      <c r="AX11" s="28">
        <v>75073890</v>
      </c>
      <c r="AY11" s="28">
        <v>0</v>
      </c>
      <c r="AZ11" s="28">
        <v>39122997</v>
      </c>
      <c r="BA11" s="28">
        <v>39122997</v>
      </c>
      <c r="BB11" s="28">
        <v>0</v>
      </c>
      <c r="BC11" s="28">
        <v>119048000</v>
      </c>
      <c r="BD11" s="28">
        <v>119048000</v>
      </c>
      <c r="BE11" s="28">
        <v>158170997</v>
      </c>
      <c r="BF11" s="28">
        <v>0</v>
      </c>
      <c r="BG11" s="28">
        <v>0</v>
      </c>
      <c r="BH11" s="28">
        <v>0</v>
      </c>
      <c r="BI11" s="28">
        <v>0</v>
      </c>
      <c r="BJ11" s="28">
        <v>0</v>
      </c>
      <c r="BK11" s="28">
        <v>0</v>
      </c>
      <c r="BL11" s="28">
        <v>0</v>
      </c>
      <c r="BM11" s="28">
        <v>0</v>
      </c>
      <c r="BN11" s="28">
        <v>0</v>
      </c>
      <c r="BO11" s="28">
        <v>0</v>
      </c>
      <c r="BP11" s="28">
        <v>0</v>
      </c>
      <c r="BQ11" s="28">
        <v>0</v>
      </c>
      <c r="BR11" s="28">
        <v>0</v>
      </c>
      <c r="BS11" s="28">
        <v>0</v>
      </c>
      <c r="BT11" s="28">
        <v>0</v>
      </c>
      <c r="BU11" s="28">
        <v>0</v>
      </c>
      <c r="BV11" s="28">
        <v>0</v>
      </c>
      <c r="BW11" s="28">
        <v>0</v>
      </c>
      <c r="BX11" s="28">
        <v>0</v>
      </c>
      <c r="BY11" s="28">
        <v>0</v>
      </c>
      <c r="BZ11" s="28">
        <v>0</v>
      </c>
      <c r="CA11" s="28">
        <v>0</v>
      </c>
      <c r="CB11" s="28">
        <v>0</v>
      </c>
      <c r="CC11" s="28">
        <v>0</v>
      </c>
      <c r="CD11" s="28">
        <v>0</v>
      </c>
      <c r="CE11" s="28">
        <v>0</v>
      </c>
      <c r="CF11" s="28">
        <v>0</v>
      </c>
      <c r="CG11" s="28">
        <v>0</v>
      </c>
      <c r="CH11" s="28">
        <v>0</v>
      </c>
      <c r="CI11" s="29">
        <v>0</v>
      </c>
    </row>
    <row r="12" spans="1:133" x14ac:dyDescent="0.25">
      <c r="A12" s="14" t="s">
        <v>5</v>
      </c>
      <c r="B12" s="28">
        <v>0</v>
      </c>
      <c r="C12" s="28">
        <v>13089180</v>
      </c>
      <c r="D12" s="28">
        <v>13089180</v>
      </c>
      <c r="E12" s="28">
        <v>40375649.799999997</v>
      </c>
      <c r="F12" s="28">
        <v>31842010</v>
      </c>
      <c r="G12" s="28">
        <v>72217659.799999997</v>
      </c>
      <c r="H12" s="28">
        <v>85306839.799999997</v>
      </c>
      <c r="I12" s="28">
        <v>0</v>
      </c>
      <c r="J12" s="28">
        <v>21197012.300000001</v>
      </c>
      <c r="K12" s="28">
        <v>21197012.300000001</v>
      </c>
      <c r="L12" s="28">
        <v>27526797.5</v>
      </c>
      <c r="M12" s="28">
        <v>49411336.399999999</v>
      </c>
      <c r="N12" s="28">
        <v>76938133.900000006</v>
      </c>
      <c r="O12" s="28">
        <v>98135146.200000003</v>
      </c>
      <c r="P12" s="28">
        <v>0</v>
      </c>
      <c r="Q12" s="28">
        <f>19.608677*1000000</f>
        <v>19608677</v>
      </c>
      <c r="R12" s="28">
        <f>19.608677*1000000</f>
        <v>19608677</v>
      </c>
      <c r="S12" s="28">
        <f>130.400189*1000000</f>
        <v>130400189.00000001</v>
      </c>
      <c r="T12" s="28">
        <f>69.187*1000000</f>
        <v>69187000</v>
      </c>
      <c r="U12" s="28">
        <f>199.587189*1000000</f>
        <v>199587189</v>
      </c>
      <c r="V12" s="28">
        <f>219.195866*1000000</f>
        <v>219195866</v>
      </c>
      <c r="W12" s="28">
        <v>0</v>
      </c>
      <c r="X12" s="28">
        <v>17129327</v>
      </c>
      <c r="Y12" s="28">
        <v>17129327</v>
      </c>
      <c r="Z12" s="28">
        <v>43661454</v>
      </c>
      <c r="AA12" s="28">
        <v>122927316</v>
      </c>
      <c r="AB12" s="28">
        <v>166588770</v>
      </c>
      <c r="AC12" s="28">
        <v>183718097</v>
      </c>
      <c r="AD12" s="28">
        <v>0</v>
      </c>
      <c r="AE12" s="28">
        <f>35.305*1000000</f>
        <v>35305000</v>
      </c>
      <c r="AF12" s="28">
        <f>35.305*1000000</f>
        <v>35305000</v>
      </c>
      <c r="AG12" s="28">
        <f>106.940832*1000000</f>
        <v>106940832</v>
      </c>
      <c r="AH12" s="28">
        <f>103.154877*1000000</f>
        <v>103154877</v>
      </c>
      <c r="AI12" s="28">
        <f>210.095709*1000000</f>
        <v>210095709</v>
      </c>
      <c r="AJ12" s="28">
        <f>245.400709*1000000</f>
        <v>245400709</v>
      </c>
      <c r="AK12" s="28">
        <v>0</v>
      </c>
      <c r="AL12" s="28">
        <f>17.971806*1000000</f>
        <v>17971806</v>
      </c>
      <c r="AM12" s="28">
        <v>17971806</v>
      </c>
      <c r="AN12" s="28">
        <v>103772877</v>
      </c>
      <c r="AO12" s="28">
        <v>70500000</v>
      </c>
      <c r="AP12" s="28">
        <v>174272877</v>
      </c>
      <c r="AQ12" s="28">
        <v>192244683</v>
      </c>
      <c r="AR12" s="28">
        <v>0</v>
      </c>
      <c r="AS12" s="28">
        <v>8280563.0000000009</v>
      </c>
      <c r="AT12" s="28">
        <v>8280563.0000000009</v>
      </c>
      <c r="AU12" s="28">
        <v>65534980.000000007</v>
      </c>
      <c r="AV12" s="28">
        <v>34947596</v>
      </c>
      <c r="AW12" s="28">
        <v>100482576</v>
      </c>
      <c r="AX12" s="28">
        <v>108763139</v>
      </c>
      <c r="AY12" s="28">
        <v>0</v>
      </c>
      <c r="AZ12" s="28">
        <v>0</v>
      </c>
      <c r="BA12" s="28">
        <v>0</v>
      </c>
      <c r="BB12" s="28">
        <v>3563000</v>
      </c>
      <c r="BC12" s="28">
        <v>0</v>
      </c>
      <c r="BD12" s="28">
        <v>3563000</v>
      </c>
      <c r="BE12" s="28">
        <v>3563000</v>
      </c>
      <c r="BF12" s="28">
        <v>0</v>
      </c>
      <c r="BG12" s="28">
        <v>0</v>
      </c>
      <c r="BH12" s="28">
        <v>0</v>
      </c>
      <c r="BI12" s="28">
        <v>1245565</v>
      </c>
      <c r="BJ12" s="28">
        <v>0</v>
      </c>
      <c r="BK12" s="28">
        <v>1245565</v>
      </c>
      <c r="BL12" s="28">
        <v>1245565</v>
      </c>
      <c r="BM12" s="28">
        <v>0</v>
      </c>
      <c r="BN12" s="28">
        <v>0</v>
      </c>
      <c r="BO12" s="28">
        <v>0</v>
      </c>
      <c r="BP12" s="28">
        <v>0</v>
      </c>
      <c r="BQ12" s="28">
        <v>0</v>
      </c>
      <c r="BR12" s="28">
        <v>0</v>
      </c>
      <c r="BS12" s="28">
        <v>0</v>
      </c>
      <c r="BT12" s="28">
        <v>0</v>
      </c>
      <c r="BU12" s="28">
        <v>0</v>
      </c>
      <c r="BV12" s="28">
        <v>0</v>
      </c>
      <c r="BW12" s="28">
        <v>0</v>
      </c>
      <c r="BX12" s="28">
        <v>0</v>
      </c>
      <c r="BY12" s="28">
        <v>0</v>
      </c>
      <c r="BZ12" s="28">
        <v>0</v>
      </c>
      <c r="CA12" s="28">
        <v>0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9">
        <v>0</v>
      </c>
    </row>
    <row r="13" spans="1:133" x14ac:dyDescent="0.25">
      <c r="A13" s="14" t="s">
        <v>81</v>
      </c>
      <c r="B13" s="28">
        <v>0</v>
      </c>
      <c r="C13" s="28">
        <v>83099012</v>
      </c>
      <c r="D13" s="28">
        <v>83099012</v>
      </c>
      <c r="E13" s="28">
        <v>243138536.19</v>
      </c>
      <c r="F13" s="28">
        <v>109266257.48999999</v>
      </c>
      <c r="G13" s="28">
        <v>352404793.68000001</v>
      </c>
      <c r="H13" s="28">
        <v>435503805.68000001</v>
      </c>
      <c r="I13" s="28">
        <v>0</v>
      </c>
      <c r="J13" s="28">
        <v>110476692</v>
      </c>
      <c r="K13" s="28">
        <v>110476692</v>
      </c>
      <c r="L13" s="28">
        <v>166868464</v>
      </c>
      <c r="M13" s="28">
        <v>210740169</v>
      </c>
      <c r="N13" s="28">
        <v>377608633</v>
      </c>
      <c r="O13" s="28">
        <v>488085325</v>
      </c>
      <c r="P13" s="28">
        <v>0</v>
      </c>
      <c r="Q13" s="28">
        <f>92.492416*1000000</f>
        <v>92492416</v>
      </c>
      <c r="R13" s="28">
        <f>92.492416*1000000</f>
        <v>92492416</v>
      </c>
      <c r="S13" s="28">
        <f>187.821765*1000000</f>
        <v>187821765</v>
      </c>
      <c r="T13" s="28">
        <f>162.579078*1000000</f>
        <v>162579078</v>
      </c>
      <c r="U13" s="28">
        <f>350.400843*1000000</f>
        <v>350400843</v>
      </c>
      <c r="V13" s="28">
        <f>442.893259*1000000</f>
        <v>442893259</v>
      </c>
      <c r="W13" s="28">
        <v>0</v>
      </c>
      <c r="X13" s="28">
        <v>66568268</v>
      </c>
      <c r="Y13" s="28">
        <v>66568268</v>
      </c>
      <c r="Z13" s="28">
        <v>331599649</v>
      </c>
      <c r="AA13" s="28">
        <v>86079216</v>
      </c>
      <c r="AB13" s="28">
        <v>417678865</v>
      </c>
      <c r="AC13" s="28">
        <v>484247133</v>
      </c>
      <c r="AD13" s="28">
        <v>0</v>
      </c>
      <c r="AE13" s="28">
        <f>157.514*1000000</f>
        <v>157514000</v>
      </c>
      <c r="AF13" s="28">
        <f>157.514*1000000</f>
        <v>157514000</v>
      </c>
      <c r="AG13" s="28">
        <f>420.862276*1000000</f>
        <v>420862276</v>
      </c>
      <c r="AH13" s="28">
        <f>149.53*1000000</f>
        <v>149530000</v>
      </c>
      <c r="AI13" s="28">
        <f>570.392276*1000000</f>
        <v>570392276</v>
      </c>
      <c r="AJ13" s="28">
        <f>727.906276*1000000</f>
        <v>727906276</v>
      </c>
      <c r="AK13" s="28">
        <v>0</v>
      </c>
      <c r="AL13" s="28">
        <f>242.946722*1000000</f>
        <v>242946722</v>
      </c>
      <c r="AM13" s="28">
        <v>242946722</v>
      </c>
      <c r="AN13" s="28">
        <v>361337875</v>
      </c>
      <c r="AO13" s="28">
        <v>43899998</v>
      </c>
      <c r="AP13" s="28">
        <v>405237873</v>
      </c>
      <c r="AQ13" s="28">
        <v>648184595</v>
      </c>
      <c r="AR13" s="28">
        <v>0</v>
      </c>
      <c r="AS13" s="28">
        <v>229691393</v>
      </c>
      <c r="AT13" s="28">
        <v>229691393</v>
      </c>
      <c r="AU13" s="28">
        <v>174190076</v>
      </c>
      <c r="AV13" s="28">
        <v>0</v>
      </c>
      <c r="AW13" s="28">
        <v>174190076</v>
      </c>
      <c r="AX13" s="28">
        <v>403881469</v>
      </c>
      <c r="AY13" s="28">
        <v>0</v>
      </c>
      <c r="AZ13" s="28">
        <v>217492641</v>
      </c>
      <c r="BA13" s="28">
        <v>217492641</v>
      </c>
      <c r="BB13" s="28">
        <v>269515731</v>
      </c>
      <c r="BC13" s="28">
        <v>0</v>
      </c>
      <c r="BD13" s="28">
        <v>269515731</v>
      </c>
      <c r="BE13" s="28">
        <v>487008372</v>
      </c>
      <c r="BF13" s="28">
        <v>0</v>
      </c>
      <c r="BG13" s="28">
        <v>187499977</v>
      </c>
      <c r="BH13" s="28">
        <v>187499977</v>
      </c>
      <c r="BI13" s="28">
        <v>130847109.99999999</v>
      </c>
      <c r="BJ13" s="28">
        <v>0</v>
      </c>
      <c r="BK13" s="28">
        <v>130847109.99999999</v>
      </c>
      <c r="BL13" s="28">
        <v>318347087</v>
      </c>
      <c r="BM13" s="28">
        <v>0</v>
      </c>
      <c r="BN13" s="28">
        <v>61999988</v>
      </c>
      <c r="BO13" s="28">
        <v>61999988</v>
      </c>
      <c r="BP13" s="28">
        <v>143199988</v>
      </c>
      <c r="BQ13" s="28">
        <v>0</v>
      </c>
      <c r="BR13" s="28">
        <v>143199988</v>
      </c>
      <c r="BS13" s="28">
        <v>205199976</v>
      </c>
      <c r="BT13" s="28">
        <v>0</v>
      </c>
      <c r="BU13" s="28">
        <v>157004820</v>
      </c>
      <c r="BV13" s="28">
        <v>0</v>
      </c>
      <c r="BW13" s="28">
        <v>157004820</v>
      </c>
      <c r="BX13" s="28">
        <v>48259995.170000002</v>
      </c>
      <c r="BY13" s="28">
        <v>0</v>
      </c>
      <c r="BZ13" s="28">
        <v>48259995.170000002</v>
      </c>
      <c r="CA13" s="28">
        <v>205264815.16999999</v>
      </c>
      <c r="CB13" s="28">
        <v>0</v>
      </c>
      <c r="CC13" s="28">
        <v>265398344</v>
      </c>
      <c r="CD13" s="28">
        <v>0</v>
      </c>
      <c r="CE13" s="28">
        <v>265398344</v>
      </c>
      <c r="CF13" s="28">
        <v>147812715</v>
      </c>
      <c r="CG13" s="28">
        <v>0</v>
      </c>
      <c r="CH13" s="28">
        <v>147812715</v>
      </c>
      <c r="CI13" s="29">
        <v>413211059</v>
      </c>
    </row>
    <row r="14" spans="1:133" x14ac:dyDescent="0.25">
      <c r="A14" s="14" t="s">
        <v>6</v>
      </c>
      <c r="B14" s="28">
        <v>0</v>
      </c>
      <c r="C14" s="28">
        <v>76400000</v>
      </c>
      <c r="D14" s="28">
        <v>76400000</v>
      </c>
      <c r="E14" s="28">
        <v>86038540</v>
      </c>
      <c r="F14" s="28">
        <v>392269666</v>
      </c>
      <c r="G14" s="28">
        <v>478308206</v>
      </c>
      <c r="H14" s="28">
        <v>554708206</v>
      </c>
      <c r="I14" s="28">
        <v>0</v>
      </c>
      <c r="J14" s="28">
        <v>77808000</v>
      </c>
      <c r="K14" s="28">
        <v>77808000</v>
      </c>
      <c r="L14" s="28">
        <v>87096960</v>
      </c>
      <c r="M14" s="28">
        <v>283250153</v>
      </c>
      <c r="N14" s="28">
        <v>370347113</v>
      </c>
      <c r="O14" s="28">
        <v>448155113</v>
      </c>
      <c r="P14" s="28">
        <v>0</v>
      </c>
      <c r="Q14" s="28">
        <f>90.695531*1000000</f>
        <v>90695531</v>
      </c>
      <c r="R14" s="28">
        <f>90.695531*1000000</f>
        <v>90695531</v>
      </c>
      <c r="S14" s="28">
        <f>68.8188*1000000</f>
        <v>68818800</v>
      </c>
      <c r="T14" s="28">
        <f>354.29008*1000000</f>
        <v>354290080</v>
      </c>
      <c r="U14" s="28">
        <f>423.10888*1000000</f>
        <v>423108880</v>
      </c>
      <c r="V14" s="28">
        <f>513.804411*1000000</f>
        <v>513804410.99999994</v>
      </c>
      <c r="W14" s="28">
        <v>0</v>
      </c>
      <c r="X14" s="28">
        <v>102114900</v>
      </c>
      <c r="Y14" s="28">
        <v>102114900</v>
      </c>
      <c r="Z14" s="28">
        <v>74255500</v>
      </c>
      <c r="AA14" s="28">
        <v>370759400</v>
      </c>
      <c r="AB14" s="28">
        <v>445014900</v>
      </c>
      <c r="AC14" s="28">
        <v>547129800</v>
      </c>
      <c r="AD14" s="28">
        <v>0</v>
      </c>
      <c r="AE14" s="28">
        <f>97.589316*1000000</f>
        <v>97589316</v>
      </c>
      <c r="AF14" s="28">
        <f>97.589316*1000000</f>
        <v>97589316</v>
      </c>
      <c r="AG14" s="28">
        <f>90.488096*1000000</f>
        <v>90488096</v>
      </c>
      <c r="AH14" s="28">
        <f>233.706645*1000000</f>
        <v>233706645</v>
      </c>
      <c r="AI14" s="28">
        <f>324.194741*1000000</f>
        <v>324194741</v>
      </c>
      <c r="AJ14" s="28">
        <f>421.784057*1000000</f>
        <v>421784057</v>
      </c>
      <c r="AK14" s="28">
        <v>0</v>
      </c>
      <c r="AL14" s="28">
        <f>81.900152*1000000</f>
        <v>81900152</v>
      </c>
      <c r="AM14" s="28">
        <v>81900152</v>
      </c>
      <c r="AN14" s="28">
        <v>54426700</v>
      </c>
      <c r="AO14" s="28">
        <v>254400000</v>
      </c>
      <c r="AP14" s="28">
        <v>308826700</v>
      </c>
      <c r="AQ14" s="28">
        <v>390726852</v>
      </c>
      <c r="AR14" s="28">
        <v>0</v>
      </c>
      <c r="AS14" s="28">
        <v>14894278</v>
      </c>
      <c r="AT14" s="28">
        <v>14894278</v>
      </c>
      <c r="AU14" s="28">
        <v>57999565</v>
      </c>
      <c r="AV14" s="28">
        <v>339737000</v>
      </c>
      <c r="AW14" s="28">
        <v>397736565</v>
      </c>
      <c r="AX14" s="28">
        <v>412630843</v>
      </c>
      <c r="AY14" s="28">
        <v>0</v>
      </c>
      <c r="AZ14" s="28">
        <v>3843845</v>
      </c>
      <c r="BA14" s="28">
        <v>3843845</v>
      </c>
      <c r="BB14" s="28">
        <v>58027939</v>
      </c>
      <c r="BC14" s="28">
        <v>338072939</v>
      </c>
      <c r="BD14" s="28">
        <v>396100878</v>
      </c>
      <c r="BE14" s="28">
        <v>399944723</v>
      </c>
      <c r="BF14" s="28">
        <v>0</v>
      </c>
      <c r="BG14" s="28">
        <v>4750000</v>
      </c>
      <c r="BH14" s="28">
        <v>4750000</v>
      </c>
      <c r="BI14" s="28">
        <v>121313942</v>
      </c>
      <c r="BJ14" s="28">
        <v>103794100</v>
      </c>
      <c r="BK14" s="28">
        <v>225108042</v>
      </c>
      <c r="BL14" s="28">
        <v>229858042</v>
      </c>
      <c r="BM14" s="28">
        <v>0</v>
      </c>
      <c r="BN14" s="28">
        <v>0</v>
      </c>
      <c r="BO14" s="28">
        <v>0</v>
      </c>
      <c r="BP14" s="28">
        <v>94286647</v>
      </c>
      <c r="BQ14" s="28">
        <v>97736887</v>
      </c>
      <c r="BR14" s="28">
        <v>192023534</v>
      </c>
      <c r="BS14" s="28">
        <v>192023534</v>
      </c>
      <c r="BT14" s="28">
        <v>0</v>
      </c>
      <c r="BU14" s="28">
        <v>5797000</v>
      </c>
      <c r="BV14" s="28">
        <v>0</v>
      </c>
      <c r="BW14" s="28">
        <v>5797000</v>
      </c>
      <c r="BX14" s="28">
        <v>203464201</v>
      </c>
      <c r="BY14" s="28">
        <v>10233571</v>
      </c>
      <c r="BZ14" s="28">
        <v>213697772</v>
      </c>
      <c r="CA14" s="28">
        <v>219494772</v>
      </c>
      <c r="CB14" s="28">
        <v>0</v>
      </c>
      <c r="CC14" s="28">
        <v>10000000</v>
      </c>
      <c r="CD14" s="28">
        <v>0</v>
      </c>
      <c r="CE14" s="28">
        <v>10000000</v>
      </c>
      <c r="CF14" s="28">
        <v>145348902</v>
      </c>
      <c r="CG14" s="28">
        <v>7619000</v>
      </c>
      <c r="CH14" s="28">
        <v>152967902</v>
      </c>
      <c r="CI14" s="29">
        <v>162967902</v>
      </c>
    </row>
    <row r="15" spans="1:133" x14ac:dyDescent="0.25">
      <c r="A15" s="14" t="s">
        <v>80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f>48.583984*1000000</f>
        <v>48583984</v>
      </c>
      <c r="R15" s="28">
        <f>48.583984*1000000</f>
        <v>48583984</v>
      </c>
      <c r="S15" s="28">
        <f>60.42*1000000</f>
        <v>60420000</v>
      </c>
      <c r="T15" s="28">
        <f>79.0795*1000000</f>
        <v>79079500</v>
      </c>
      <c r="U15" s="28">
        <f>139.4995*1000000</f>
        <v>139499500</v>
      </c>
      <c r="V15" s="28">
        <f>188.083484*1000000</f>
        <v>188083484</v>
      </c>
      <c r="W15" s="28">
        <v>0</v>
      </c>
      <c r="X15" s="28">
        <v>61996255</v>
      </c>
      <c r="Y15" s="28">
        <v>61996255</v>
      </c>
      <c r="Z15" s="28">
        <v>69003600</v>
      </c>
      <c r="AA15" s="28">
        <v>69995800</v>
      </c>
      <c r="AB15" s="28">
        <v>138999400</v>
      </c>
      <c r="AC15" s="28">
        <v>200995655</v>
      </c>
      <c r="AD15" s="28">
        <v>0</v>
      </c>
      <c r="AE15" s="28">
        <f>64.053*1000000</f>
        <v>64053000</v>
      </c>
      <c r="AF15" s="28">
        <f>64.053*1000000</f>
        <v>64053000</v>
      </c>
      <c r="AG15" s="28">
        <f>43.638968*1000000</f>
        <v>43638968</v>
      </c>
      <c r="AH15" s="28">
        <f>79.619766*1000000</f>
        <v>79619766</v>
      </c>
      <c r="AI15" s="28">
        <f>123.258734*1000000</f>
        <v>123258734</v>
      </c>
      <c r="AJ15" s="28">
        <f>187.311734*1000000</f>
        <v>187311734</v>
      </c>
      <c r="AK15" s="28">
        <v>0</v>
      </c>
      <c r="AL15" s="28">
        <f>52.468138*1000000</f>
        <v>52468138</v>
      </c>
      <c r="AM15" s="28">
        <v>52468138</v>
      </c>
      <c r="AN15" s="28">
        <v>89479998</v>
      </c>
      <c r="AO15" s="28">
        <v>86495672</v>
      </c>
      <c r="AP15" s="28">
        <v>175975670</v>
      </c>
      <c r="AQ15" s="28">
        <v>228443808</v>
      </c>
      <c r="AR15" s="28">
        <v>0</v>
      </c>
      <c r="AS15" s="28">
        <v>52345420</v>
      </c>
      <c r="AT15" s="28">
        <v>52345420</v>
      </c>
      <c r="AU15" s="28">
        <v>90555212</v>
      </c>
      <c r="AV15" s="28">
        <v>56929441</v>
      </c>
      <c r="AW15" s="28">
        <v>147484653</v>
      </c>
      <c r="AX15" s="28">
        <v>199830073</v>
      </c>
      <c r="AY15" s="28">
        <v>0</v>
      </c>
      <c r="AZ15" s="28">
        <v>108012133</v>
      </c>
      <c r="BA15" s="28">
        <v>108012133</v>
      </c>
      <c r="BB15" s="28">
        <v>125475252</v>
      </c>
      <c r="BC15" s="28">
        <v>44850167</v>
      </c>
      <c r="BD15" s="28">
        <v>170325419</v>
      </c>
      <c r="BE15" s="28">
        <v>278337552</v>
      </c>
      <c r="BF15" s="28">
        <v>0</v>
      </c>
      <c r="BG15" s="28">
        <v>58389905</v>
      </c>
      <c r="BH15" s="28">
        <v>58389905</v>
      </c>
      <c r="BI15" s="28">
        <v>257223217.99999997</v>
      </c>
      <c r="BJ15" s="28">
        <v>38825977</v>
      </c>
      <c r="BK15" s="28">
        <v>296049195</v>
      </c>
      <c r="BL15" s="28">
        <v>354439100</v>
      </c>
      <c r="BM15" s="28">
        <v>0</v>
      </c>
      <c r="BN15" s="28">
        <v>79309463</v>
      </c>
      <c r="BO15" s="28">
        <v>79309463</v>
      </c>
      <c r="BP15" s="28">
        <v>311616763</v>
      </c>
      <c r="BQ15" s="28">
        <v>78763292</v>
      </c>
      <c r="BR15" s="28">
        <v>390380055</v>
      </c>
      <c r="BS15" s="28">
        <v>469689518</v>
      </c>
      <c r="BT15" s="28">
        <v>0</v>
      </c>
      <c r="BU15" s="28">
        <v>79442635</v>
      </c>
      <c r="BV15" s="28">
        <v>0</v>
      </c>
      <c r="BW15" s="28">
        <v>79442635</v>
      </c>
      <c r="BX15" s="28">
        <v>262851239.00000003</v>
      </c>
      <c r="BY15" s="28">
        <v>2086876.0000000002</v>
      </c>
      <c r="BZ15" s="28">
        <v>264938114.99999997</v>
      </c>
      <c r="CA15" s="28">
        <v>344380750</v>
      </c>
      <c r="CB15" s="28">
        <v>0</v>
      </c>
      <c r="CC15" s="28">
        <v>52484505</v>
      </c>
      <c r="CD15" s="28">
        <v>0</v>
      </c>
      <c r="CE15" s="28">
        <v>52484505</v>
      </c>
      <c r="CF15" s="28">
        <v>307298000</v>
      </c>
      <c r="CG15" s="28">
        <v>34031814</v>
      </c>
      <c r="CH15" s="28">
        <v>341329814</v>
      </c>
      <c r="CI15" s="29">
        <v>393814319</v>
      </c>
    </row>
    <row r="16" spans="1:133" x14ac:dyDescent="0.25">
      <c r="A16" s="14" t="s">
        <v>7</v>
      </c>
      <c r="B16" s="28">
        <v>0</v>
      </c>
      <c r="C16" s="28">
        <v>14015149</v>
      </c>
      <c r="D16" s="28">
        <v>14015149</v>
      </c>
      <c r="E16" s="28">
        <v>25579681</v>
      </c>
      <c r="F16" s="28">
        <v>43719154</v>
      </c>
      <c r="G16" s="28">
        <v>69298835</v>
      </c>
      <c r="H16" s="28">
        <v>83313984</v>
      </c>
      <c r="I16" s="28">
        <v>0</v>
      </c>
      <c r="J16" s="28">
        <v>31819154</v>
      </c>
      <c r="K16" s="28">
        <v>31819154</v>
      </c>
      <c r="L16" s="28">
        <v>34540927</v>
      </c>
      <c r="M16" s="28">
        <v>145459867</v>
      </c>
      <c r="N16" s="28">
        <v>180000794</v>
      </c>
      <c r="O16" s="28">
        <v>211819948</v>
      </c>
      <c r="P16" s="28">
        <v>0</v>
      </c>
      <c r="Q16" s="28">
        <f>34.00867*1000000</f>
        <v>34008670</v>
      </c>
      <c r="R16" s="28">
        <f>34.00867*1000000</f>
        <v>34008670</v>
      </c>
      <c r="S16" s="28">
        <f>26.2032*1000000</f>
        <v>26203200</v>
      </c>
      <c r="T16" s="28">
        <f>203.82444*1000000</f>
        <v>203824440</v>
      </c>
      <c r="U16" s="28">
        <f>230.02764*1000000</f>
        <v>230027640</v>
      </c>
      <c r="V16" s="28">
        <f>264.03631*1000000</f>
        <v>264036310</v>
      </c>
      <c r="W16" s="28">
        <v>0</v>
      </c>
      <c r="X16" s="28">
        <v>36741973</v>
      </c>
      <c r="Y16" s="28">
        <v>36741973</v>
      </c>
      <c r="Z16" s="28">
        <v>22443807</v>
      </c>
      <c r="AA16" s="28">
        <v>176470647</v>
      </c>
      <c r="AB16" s="28">
        <v>198914454</v>
      </c>
      <c r="AC16" s="28">
        <v>235656427</v>
      </c>
      <c r="AD16" s="28">
        <v>0</v>
      </c>
      <c r="AE16" s="28">
        <f>62.27732*1000000</f>
        <v>62277320</v>
      </c>
      <c r="AF16" s="28">
        <f>62.27732*1000000</f>
        <v>62277320</v>
      </c>
      <c r="AG16" s="28">
        <f>2.943264*1000000</f>
        <v>2943264</v>
      </c>
      <c r="AH16" s="28">
        <f>249.769712*1000000</f>
        <v>249769712</v>
      </c>
      <c r="AI16" s="28">
        <f>252.712976*1000000</f>
        <v>252712976</v>
      </c>
      <c r="AJ16" s="28">
        <f>314.990296*1000000</f>
        <v>314990296</v>
      </c>
      <c r="AK16" s="28">
        <v>0</v>
      </c>
      <c r="AL16" s="28">
        <f>52.623982*1000000</f>
        <v>52623982</v>
      </c>
      <c r="AM16" s="28">
        <v>52623982</v>
      </c>
      <c r="AN16" s="28">
        <v>1456202</v>
      </c>
      <c r="AO16" s="28">
        <v>96100992</v>
      </c>
      <c r="AP16" s="28">
        <v>97557194</v>
      </c>
      <c r="AQ16" s="28">
        <v>150181176</v>
      </c>
      <c r="AR16" s="28">
        <v>0</v>
      </c>
      <c r="AS16" s="28">
        <v>22646000</v>
      </c>
      <c r="AT16" s="28">
        <v>22646000</v>
      </c>
      <c r="AU16" s="28">
        <v>0</v>
      </c>
      <c r="AV16" s="28">
        <v>70234456</v>
      </c>
      <c r="AW16" s="28">
        <v>70234456</v>
      </c>
      <c r="AX16" s="28">
        <v>92880456</v>
      </c>
      <c r="AY16" s="28">
        <v>0</v>
      </c>
      <c r="AZ16" s="28">
        <v>2157998</v>
      </c>
      <c r="BA16" s="28">
        <v>2157998</v>
      </c>
      <c r="BB16" s="28">
        <v>0</v>
      </c>
      <c r="BC16" s="28">
        <v>15729382</v>
      </c>
      <c r="BD16" s="28">
        <v>15729382</v>
      </c>
      <c r="BE16" s="28">
        <v>17887380</v>
      </c>
      <c r="BF16" s="28">
        <v>0</v>
      </c>
      <c r="BG16" s="28">
        <v>1530999</v>
      </c>
      <c r="BH16" s="28">
        <v>1530999</v>
      </c>
      <c r="BI16" s="28">
        <v>0</v>
      </c>
      <c r="BJ16" s="28">
        <v>29421990</v>
      </c>
      <c r="BK16" s="28">
        <v>29421990</v>
      </c>
      <c r="BL16" s="28">
        <v>30952989</v>
      </c>
      <c r="BM16" s="28">
        <v>0</v>
      </c>
      <c r="BN16" s="28">
        <v>900000</v>
      </c>
      <c r="BO16" s="28">
        <v>900000</v>
      </c>
      <c r="BP16" s="28">
        <v>0</v>
      </c>
      <c r="BQ16" s="28">
        <v>14702251</v>
      </c>
      <c r="BR16" s="28">
        <v>14702251</v>
      </c>
      <c r="BS16" s="28">
        <v>15602251</v>
      </c>
      <c r="BT16" s="28">
        <v>0</v>
      </c>
      <c r="BU16" s="28">
        <v>2930930</v>
      </c>
      <c r="BV16" s="28">
        <v>0</v>
      </c>
      <c r="BW16" s="28">
        <v>2930930</v>
      </c>
      <c r="BX16" s="28">
        <v>0</v>
      </c>
      <c r="BY16" s="28">
        <v>20495500</v>
      </c>
      <c r="BZ16" s="28">
        <v>20495500</v>
      </c>
      <c r="CA16" s="28">
        <v>23426430</v>
      </c>
      <c r="CB16" s="28">
        <v>0</v>
      </c>
      <c r="CC16" s="28">
        <v>0</v>
      </c>
      <c r="CD16" s="28">
        <v>0</v>
      </c>
      <c r="CE16" s="28">
        <v>0</v>
      </c>
      <c r="CF16" s="28">
        <v>0</v>
      </c>
      <c r="CG16" s="28">
        <v>61696400</v>
      </c>
      <c r="CH16" s="28">
        <v>61696400</v>
      </c>
      <c r="CI16" s="29">
        <v>61696400</v>
      </c>
    </row>
    <row r="17" spans="1:87" x14ac:dyDescent="0.25">
      <c r="A17" s="14" t="s">
        <v>8</v>
      </c>
      <c r="B17" s="28">
        <v>0</v>
      </c>
      <c r="C17" s="28">
        <v>82270222</v>
      </c>
      <c r="D17" s="28">
        <v>82270222</v>
      </c>
      <c r="E17" s="28">
        <v>0</v>
      </c>
      <c r="F17" s="28">
        <v>42600000</v>
      </c>
      <c r="G17" s="28">
        <v>42600000</v>
      </c>
      <c r="H17" s="28">
        <v>124870222</v>
      </c>
      <c r="I17" s="28">
        <v>0</v>
      </c>
      <c r="J17" s="28">
        <v>74915776</v>
      </c>
      <c r="K17" s="28">
        <v>74915776</v>
      </c>
      <c r="L17" s="28">
        <v>0</v>
      </c>
      <c r="M17" s="28">
        <v>57600000</v>
      </c>
      <c r="N17" s="28">
        <v>57600000</v>
      </c>
      <c r="O17" s="28">
        <v>132515776</v>
      </c>
      <c r="P17" s="28">
        <v>0</v>
      </c>
      <c r="Q17" s="28">
        <f>299.906549*1000000</f>
        <v>299906549</v>
      </c>
      <c r="R17" s="28">
        <f>299.906549*1000000</f>
        <v>299906549</v>
      </c>
      <c r="S17" s="28">
        <v>0</v>
      </c>
      <c r="T17" s="28">
        <f>51.619175*1000000</f>
        <v>51619175</v>
      </c>
      <c r="U17" s="28">
        <f>51.619175*1000000</f>
        <v>51619175</v>
      </c>
      <c r="V17" s="28">
        <f>351.525724*1000000</f>
        <v>351525724</v>
      </c>
      <c r="W17" s="28">
        <v>0</v>
      </c>
      <c r="X17" s="28">
        <v>585684587</v>
      </c>
      <c r="Y17" s="28">
        <v>585684587</v>
      </c>
      <c r="Z17" s="28">
        <v>0</v>
      </c>
      <c r="AA17" s="28">
        <v>0</v>
      </c>
      <c r="AB17" s="28">
        <v>0</v>
      </c>
      <c r="AC17" s="28">
        <v>585684587</v>
      </c>
      <c r="AD17" s="28">
        <v>0</v>
      </c>
      <c r="AE17" s="28">
        <f>707.929715*1000000</f>
        <v>707929715</v>
      </c>
      <c r="AF17" s="28">
        <f>707.929715*1000000</f>
        <v>707929715</v>
      </c>
      <c r="AG17" s="28">
        <f>83.3037*1000000</f>
        <v>83303700</v>
      </c>
      <c r="AH17" s="28">
        <v>0</v>
      </c>
      <c r="AI17" s="28">
        <f>83.3037*1000000</f>
        <v>83303700</v>
      </c>
      <c r="AJ17" s="28">
        <f>791.233415*1000000</f>
        <v>791233415</v>
      </c>
      <c r="AK17" s="28">
        <v>0</v>
      </c>
      <c r="AL17" s="28">
        <f>998.569822*1000000</f>
        <v>998569822</v>
      </c>
      <c r="AM17" s="28">
        <v>998569822</v>
      </c>
      <c r="AN17" s="28">
        <v>18712274</v>
      </c>
      <c r="AO17" s="28">
        <v>0</v>
      </c>
      <c r="AP17" s="28">
        <v>18712274</v>
      </c>
      <c r="AQ17" s="28">
        <v>1017282096</v>
      </c>
      <c r="AR17" s="28">
        <v>0</v>
      </c>
      <c r="AS17" s="28">
        <v>1326416091</v>
      </c>
      <c r="AT17" s="28">
        <v>1326416091</v>
      </c>
      <c r="AU17" s="28">
        <v>0</v>
      </c>
      <c r="AV17" s="28">
        <v>0</v>
      </c>
      <c r="AW17" s="28">
        <v>0</v>
      </c>
      <c r="AX17" s="28">
        <v>1326416091</v>
      </c>
      <c r="AY17" s="28">
        <v>0</v>
      </c>
      <c r="AZ17" s="28">
        <v>1500779384</v>
      </c>
      <c r="BA17" s="28">
        <v>1500779384</v>
      </c>
      <c r="BB17" s="28">
        <v>0</v>
      </c>
      <c r="BC17" s="28">
        <v>0</v>
      </c>
      <c r="BD17" s="28">
        <v>0</v>
      </c>
      <c r="BE17" s="28">
        <v>1500779384</v>
      </c>
      <c r="BF17" s="28">
        <v>0</v>
      </c>
      <c r="BG17" s="28">
        <v>1885353111</v>
      </c>
      <c r="BH17" s="28">
        <v>1885353111</v>
      </c>
      <c r="BI17" s="28">
        <v>0</v>
      </c>
      <c r="BJ17" s="28">
        <v>0</v>
      </c>
      <c r="BK17" s="28">
        <v>0</v>
      </c>
      <c r="BL17" s="28">
        <v>1885353111</v>
      </c>
      <c r="BM17" s="28">
        <v>0</v>
      </c>
      <c r="BN17" s="28">
        <v>2260828532</v>
      </c>
      <c r="BO17" s="28">
        <v>2260828532</v>
      </c>
      <c r="BP17" s="28">
        <v>0</v>
      </c>
      <c r="BQ17" s="28">
        <v>0</v>
      </c>
      <c r="BR17" s="28">
        <v>0</v>
      </c>
      <c r="BS17" s="28">
        <v>2260828532</v>
      </c>
      <c r="BT17" s="28">
        <v>0</v>
      </c>
      <c r="BU17" s="28">
        <v>2980576690</v>
      </c>
      <c r="BV17" s="28">
        <v>0</v>
      </c>
      <c r="BW17" s="28">
        <v>2980576690</v>
      </c>
      <c r="BX17" s="28">
        <v>0</v>
      </c>
      <c r="BY17" s="28">
        <v>0</v>
      </c>
      <c r="BZ17" s="28">
        <v>0</v>
      </c>
      <c r="CA17" s="28">
        <v>2980576690</v>
      </c>
      <c r="CB17" s="28">
        <v>0</v>
      </c>
      <c r="CC17" s="28">
        <v>3349185614</v>
      </c>
      <c r="CD17" s="28">
        <v>0</v>
      </c>
      <c r="CE17" s="28">
        <v>3349185614</v>
      </c>
      <c r="CF17" s="28">
        <v>0</v>
      </c>
      <c r="CG17" s="28">
        <v>0</v>
      </c>
      <c r="CH17" s="28">
        <v>0</v>
      </c>
      <c r="CI17" s="29">
        <v>3349185614</v>
      </c>
    </row>
    <row r="18" spans="1:87" x14ac:dyDescent="0.25">
      <c r="A18" s="14" t="s">
        <v>9</v>
      </c>
      <c r="B18" s="28">
        <v>0</v>
      </c>
      <c r="C18" s="28">
        <v>34872617</v>
      </c>
      <c r="D18" s="28">
        <v>34872617</v>
      </c>
      <c r="E18" s="28">
        <v>89852872</v>
      </c>
      <c r="F18" s="28">
        <v>78736093</v>
      </c>
      <c r="G18" s="28">
        <v>168588965</v>
      </c>
      <c r="H18" s="28">
        <v>203461582</v>
      </c>
      <c r="I18" s="28">
        <v>0</v>
      </c>
      <c r="J18" s="28">
        <v>44247148</v>
      </c>
      <c r="K18" s="28">
        <v>44247148</v>
      </c>
      <c r="L18" s="28">
        <v>137923315.91999999</v>
      </c>
      <c r="M18" s="28">
        <v>94548884</v>
      </c>
      <c r="N18" s="28">
        <v>232472199.91999999</v>
      </c>
      <c r="O18" s="28">
        <v>276719347.92000002</v>
      </c>
      <c r="P18" s="28">
        <v>0</v>
      </c>
      <c r="Q18" s="28">
        <f>45.750916*1000000</f>
        <v>45750916</v>
      </c>
      <c r="R18" s="28">
        <f>45.750916*1000000</f>
        <v>45750916</v>
      </c>
      <c r="S18" s="28">
        <f>160.70553*1000000</f>
        <v>160705530</v>
      </c>
      <c r="T18" s="28">
        <f>76.683684*1000000</f>
        <v>76683684</v>
      </c>
      <c r="U18" s="28">
        <f>237.389214*1000000</f>
        <v>237389214</v>
      </c>
      <c r="V18" s="28">
        <f>283.14013*1000000</f>
        <v>283140130</v>
      </c>
      <c r="W18" s="28">
        <v>0</v>
      </c>
      <c r="X18" s="28">
        <v>64228943</v>
      </c>
      <c r="Y18" s="28">
        <v>64228943</v>
      </c>
      <c r="Z18" s="28">
        <v>148940095</v>
      </c>
      <c r="AA18" s="28">
        <v>70220344</v>
      </c>
      <c r="AB18" s="28">
        <v>219160439</v>
      </c>
      <c r="AC18" s="28">
        <v>283389382</v>
      </c>
      <c r="AD18" s="28">
        <v>0</v>
      </c>
      <c r="AE18" s="28">
        <f>44.834811*1000000</f>
        <v>44834811</v>
      </c>
      <c r="AF18" s="28">
        <f>44.834811*1000000</f>
        <v>44834811</v>
      </c>
      <c r="AG18" s="28">
        <f>333.545454*1000000</f>
        <v>333545454</v>
      </c>
      <c r="AH18" s="28">
        <f>99.571523*1000000</f>
        <v>99571523</v>
      </c>
      <c r="AI18" s="28">
        <f>433.116977*1000000</f>
        <v>433116977</v>
      </c>
      <c r="AJ18" s="28">
        <f>477.951788*1000000</f>
        <v>477951788</v>
      </c>
      <c r="AK18" s="28">
        <v>0</v>
      </c>
      <c r="AL18" s="28">
        <f>39.922484*1000000</f>
        <v>39922484</v>
      </c>
      <c r="AM18" s="28">
        <v>39922484</v>
      </c>
      <c r="AN18" s="28">
        <v>469124758</v>
      </c>
      <c r="AO18" s="28">
        <v>165325000</v>
      </c>
      <c r="AP18" s="28">
        <v>634449758</v>
      </c>
      <c r="AQ18" s="28">
        <v>674372242</v>
      </c>
      <c r="AR18" s="28">
        <v>0</v>
      </c>
      <c r="AS18" s="28">
        <v>13208957</v>
      </c>
      <c r="AT18" s="28">
        <v>13208957</v>
      </c>
      <c r="AU18" s="28">
        <v>355787810</v>
      </c>
      <c r="AV18" s="28">
        <v>164101991</v>
      </c>
      <c r="AW18" s="28">
        <v>519889801.00000006</v>
      </c>
      <c r="AX18" s="28">
        <v>533098758</v>
      </c>
      <c r="AY18" s="28">
        <v>0</v>
      </c>
      <c r="AZ18" s="28">
        <v>0</v>
      </c>
      <c r="BA18" s="28">
        <v>0</v>
      </c>
      <c r="BB18" s="28">
        <v>1300000</v>
      </c>
      <c r="BC18" s="28">
        <v>11111858</v>
      </c>
      <c r="BD18" s="28">
        <v>12411858</v>
      </c>
      <c r="BE18" s="28">
        <v>12411858</v>
      </c>
      <c r="BF18" s="28">
        <v>0</v>
      </c>
      <c r="BG18" s="28">
        <v>0</v>
      </c>
      <c r="BH18" s="28">
        <v>0</v>
      </c>
      <c r="BI18" s="28">
        <v>0</v>
      </c>
      <c r="BJ18" s="28">
        <v>26032287</v>
      </c>
      <c r="BK18" s="28">
        <v>26032287</v>
      </c>
      <c r="BL18" s="28">
        <v>26032287</v>
      </c>
      <c r="BM18" s="28">
        <v>0</v>
      </c>
      <c r="BN18" s="28">
        <v>0</v>
      </c>
      <c r="BO18" s="28">
        <v>0</v>
      </c>
      <c r="BP18" s="28">
        <v>112000</v>
      </c>
      <c r="BQ18" s="28">
        <v>0</v>
      </c>
      <c r="BR18" s="28">
        <v>112000</v>
      </c>
      <c r="BS18" s="28">
        <v>112000</v>
      </c>
      <c r="BT18" s="28">
        <v>0</v>
      </c>
      <c r="BU18" s="28">
        <v>0</v>
      </c>
      <c r="BV18" s="28">
        <v>0</v>
      </c>
      <c r="BW18" s="28">
        <v>0</v>
      </c>
      <c r="BX18" s="28">
        <v>6689134</v>
      </c>
      <c r="BY18" s="28">
        <v>6347000</v>
      </c>
      <c r="BZ18" s="28">
        <v>13036134</v>
      </c>
      <c r="CA18" s="28">
        <v>13036134</v>
      </c>
      <c r="CB18" s="28">
        <v>0</v>
      </c>
      <c r="CC18" s="28">
        <v>0</v>
      </c>
      <c r="CD18" s="28">
        <v>0</v>
      </c>
      <c r="CE18" s="28">
        <v>0</v>
      </c>
      <c r="CF18" s="28">
        <v>9847730</v>
      </c>
      <c r="CG18" s="28">
        <v>10484000</v>
      </c>
      <c r="CH18" s="28">
        <v>20331730</v>
      </c>
      <c r="CI18" s="29">
        <v>20331730</v>
      </c>
    </row>
    <row r="19" spans="1:87" x14ac:dyDescent="0.25">
      <c r="A19" s="14" t="s">
        <v>10</v>
      </c>
      <c r="B19" s="28">
        <v>0</v>
      </c>
      <c r="C19" s="28">
        <v>20199999</v>
      </c>
      <c r="D19" s="28">
        <v>20199999</v>
      </c>
      <c r="E19" s="28">
        <v>75915000</v>
      </c>
      <c r="F19" s="28">
        <v>10000000</v>
      </c>
      <c r="G19" s="28">
        <v>85915000</v>
      </c>
      <c r="H19" s="28">
        <v>106114999</v>
      </c>
      <c r="I19" s="28">
        <v>0</v>
      </c>
      <c r="J19" s="28">
        <v>21918374</v>
      </c>
      <c r="K19" s="28">
        <v>21918374</v>
      </c>
      <c r="L19" s="28">
        <v>54784000</v>
      </c>
      <c r="M19" s="28">
        <v>16774952</v>
      </c>
      <c r="N19" s="28">
        <v>71558952</v>
      </c>
      <c r="O19" s="28">
        <v>93477326</v>
      </c>
      <c r="P19" s="28">
        <v>0</v>
      </c>
      <c r="Q19" s="28">
        <f>22.739*1000000</f>
        <v>22739000</v>
      </c>
      <c r="R19" s="28">
        <f>22.739*1000000</f>
        <v>22739000</v>
      </c>
      <c r="S19" s="28">
        <f>65.298776*1000000</f>
        <v>65298776</v>
      </c>
      <c r="T19" s="28">
        <f>41.815*1000000</f>
        <v>41815000</v>
      </c>
      <c r="U19" s="28">
        <f>107.113776*1000000</f>
        <v>107113776</v>
      </c>
      <c r="V19" s="28">
        <f>129.852776*1000000</f>
        <v>129852776</v>
      </c>
      <c r="W19" s="28">
        <v>0</v>
      </c>
      <c r="X19" s="28">
        <v>24253296</v>
      </c>
      <c r="Y19" s="28">
        <v>24253296</v>
      </c>
      <c r="Z19" s="28">
        <v>66883813</v>
      </c>
      <c r="AA19" s="28">
        <v>46952625</v>
      </c>
      <c r="AB19" s="28">
        <v>113836438</v>
      </c>
      <c r="AC19" s="28">
        <v>138089734</v>
      </c>
      <c r="AD19" s="28">
        <v>0</v>
      </c>
      <c r="AE19" s="28">
        <f>22.775892*1000000</f>
        <v>22775892</v>
      </c>
      <c r="AF19" s="28">
        <f>22.775892*1000000</f>
        <v>22775892</v>
      </c>
      <c r="AG19" s="28">
        <f>84.066983*1000000</f>
        <v>84066983</v>
      </c>
      <c r="AH19" s="28">
        <f>197.82353*1000000</f>
        <v>197823530</v>
      </c>
      <c r="AI19" s="28">
        <f>281.890513*1000000</f>
        <v>281890513</v>
      </c>
      <c r="AJ19" s="28">
        <f>304.666405*1000000</f>
        <v>304666405</v>
      </c>
      <c r="AK19" s="28">
        <v>0</v>
      </c>
      <c r="AL19" s="28">
        <f>22.873818*1000000</f>
        <v>22873818</v>
      </c>
      <c r="AM19" s="28">
        <v>22873818</v>
      </c>
      <c r="AN19" s="28">
        <v>83256653</v>
      </c>
      <c r="AO19" s="28">
        <v>95256049</v>
      </c>
      <c r="AP19" s="28">
        <v>178512702</v>
      </c>
      <c r="AQ19" s="28">
        <v>201386520</v>
      </c>
      <c r="AR19" s="28">
        <v>0</v>
      </c>
      <c r="AS19" s="28">
        <v>3168695</v>
      </c>
      <c r="AT19" s="28">
        <v>3168695</v>
      </c>
      <c r="AU19" s="28">
        <v>50558842</v>
      </c>
      <c r="AV19" s="28">
        <v>24120221</v>
      </c>
      <c r="AW19" s="28">
        <v>74679063</v>
      </c>
      <c r="AX19" s="28">
        <v>77847758</v>
      </c>
      <c r="AY19" s="28">
        <v>0</v>
      </c>
      <c r="AZ19" s="28">
        <v>0</v>
      </c>
      <c r="BA19" s="28">
        <v>0</v>
      </c>
      <c r="BB19" s="28">
        <v>21691915</v>
      </c>
      <c r="BC19" s="28">
        <v>0</v>
      </c>
      <c r="BD19" s="28">
        <v>21691915</v>
      </c>
      <c r="BE19" s="28">
        <v>21691915</v>
      </c>
      <c r="BF19" s="28">
        <v>0</v>
      </c>
      <c r="BG19" s="28">
        <v>0</v>
      </c>
      <c r="BH19" s="28">
        <v>0</v>
      </c>
      <c r="BI19" s="28">
        <v>8632633</v>
      </c>
      <c r="BJ19" s="28">
        <v>0</v>
      </c>
      <c r="BK19" s="28">
        <v>8632633</v>
      </c>
      <c r="BL19" s="28">
        <v>8632633</v>
      </c>
      <c r="BM19" s="28">
        <v>0</v>
      </c>
      <c r="BN19" s="28">
        <v>0</v>
      </c>
      <c r="BO19" s="28">
        <v>0</v>
      </c>
      <c r="BP19" s="28">
        <v>8207694.9999999991</v>
      </c>
      <c r="BQ19" s="28">
        <v>216000</v>
      </c>
      <c r="BR19" s="28">
        <v>8423695</v>
      </c>
      <c r="BS19" s="28">
        <v>8423695</v>
      </c>
      <c r="BT19" s="28">
        <v>0</v>
      </c>
      <c r="BU19" s="28">
        <v>0</v>
      </c>
      <c r="BV19" s="28">
        <v>0</v>
      </c>
      <c r="BW19" s="28">
        <v>0</v>
      </c>
      <c r="BX19" s="28">
        <v>17272088</v>
      </c>
      <c r="BY19" s="28">
        <v>23347171.199999999</v>
      </c>
      <c r="BZ19" s="28">
        <v>40619259.200000003</v>
      </c>
      <c r="CA19" s="28">
        <v>40619259.200000003</v>
      </c>
      <c r="CB19" s="28">
        <v>0</v>
      </c>
      <c r="CC19" s="28">
        <v>0</v>
      </c>
      <c r="CD19" s="28">
        <v>726800</v>
      </c>
      <c r="CE19" s="28">
        <v>726800</v>
      </c>
      <c r="CF19" s="28">
        <v>28368534.060000002</v>
      </c>
      <c r="CG19" s="28">
        <v>39375708</v>
      </c>
      <c r="CH19" s="28">
        <v>67744242.060000002</v>
      </c>
      <c r="CI19" s="29">
        <v>68471042.060000002</v>
      </c>
    </row>
    <row r="20" spans="1:87" x14ac:dyDescent="0.25">
      <c r="A20" s="14" t="s">
        <v>11</v>
      </c>
      <c r="B20" s="28">
        <v>0</v>
      </c>
      <c r="C20" s="28">
        <v>12660903</v>
      </c>
      <c r="D20" s="28">
        <v>12660903</v>
      </c>
      <c r="E20" s="28">
        <v>22400359</v>
      </c>
      <c r="F20" s="28">
        <v>29968144.100000001</v>
      </c>
      <c r="G20" s="28">
        <v>52368503.100000001</v>
      </c>
      <c r="H20" s="28">
        <v>65029406.100000001</v>
      </c>
      <c r="I20" s="28">
        <v>0</v>
      </c>
      <c r="J20" s="28">
        <v>18204578.280000001</v>
      </c>
      <c r="K20" s="28">
        <v>18204578.280000001</v>
      </c>
      <c r="L20" s="28">
        <v>16116275.890000001</v>
      </c>
      <c r="M20" s="28">
        <v>38323103.359999999</v>
      </c>
      <c r="N20" s="28">
        <v>54439379.25</v>
      </c>
      <c r="O20" s="28">
        <v>72643957.530000001</v>
      </c>
      <c r="P20" s="28">
        <v>0</v>
      </c>
      <c r="Q20" s="28">
        <f>12.607908*1000000</f>
        <v>12607908</v>
      </c>
      <c r="R20" s="28">
        <f>12.607908*1000000</f>
        <v>12607908</v>
      </c>
      <c r="S20" s="28">
        <f>19.192147*1000000</f>
        <v>19192147</v>
      </c>
      <c r="T20" s="28">
        <f>68.494981*1000000</f>
        <v>68494981</v>
      </c>
      <c r="U20" s="28">
        <f>87.687128*1000000</f>
        <v>87687128</v>
      </c>
      <c r="V20" s="28">
        <f>100.295036*1000000</f>
        <v>100295036</v>
      </c>
      <c r="W20" s="28">
        <v>0</v>
      </c>
      <c r="X20" s="28">
        <v>13726543</v>
      </c>
      <c r="Y20" s="28">
        <v>13726543</v>
      </c>
      <c r="Z20" s="28">
        <v>24398003</v>
      </c>
      <c r="AA20" s="28">
        <v>78847900</v>
      </c>
      <c r="AB20" s="28">
        <v>103245903</v>
      </c>
      <c r="AC20" s="28">
        <v>116972446</v>
      </c>
      <c r="AD20" s="28">
        <v>0</v>
      </c>
      <c r="AE20" s="28">
        <f>10.780178*1000000</f>
        <v>10780178</v>
      </c>
      <c r="AF20" s="28">
        <f>10.780178*1000000</f>
        <v>10780178</v>
      </c>
      <c r="AG20" s="28">
        <f>87.754984*1000000</f>
        <v>87754984</v>
      </c>
      <c r="AH20" s="28">
        <f>64.547684*1000000</f>
        <v>64547684.000000007</v>
      </c>
      <c r="AI20" s="28">
        <f>152.302668*1000000</f>
        <v>152302668</v>
      </c>
      <c r="AJ20" s="28">
        <f>163.082846*1000000</f>
        <v>163082846</v>
      </c>
      <c r="AK20" s="28">
        <v>0</v>
      </c>
      <c r="AL20" s="28">
        <f>10.067097*1000000</f>
        <v>10067097</v>
      </c>
      <c r="AM20" s="28">
        <v>10067097</v>
      </c>
      <c r="AN20" s="28">
        <v>87844473</v>
      </c>
      <c r="AO20" s="28">
        <v>20416545</v>
      </c>
      <c r="AP20" s="28">
        <v>108261018</v>
      </c>
      <c r="AQ20" s="28">
        <v>118328115</v>
      </c>
      <c r="AR20" s="28">
        <v>0</v>
      </c>
      <c r="AS20" s="28">
        <v>43912756</v>
      </c>
      <c r="AT20" s="28">
        <v>43912756</v>
      </c>
      <c r="AU20" s="28">
        <v>43252189</v>
      </c>
      <c r="AV20" s="28">
        <v>6737978</v>
      </c>
      <c r="AW20" s="28">
        <v>49990167</v>
      </c>
      <c r="AX20" s="28">
        <v>93902923</v>
      </c>
      <c r="AY20" s="28">
        <v>0</v>
      </c>
      <c r="AZ20" s="28">
        <v>0</v>
      </c>
      <c r="BA20" s="28">
        <v>0</v>
      </c>
      <c r="BB20" s="28">
        <v>0</v>
      </c>
      <c r="BC20" s="28">
        <v>420000</v>
      </c>
      <c r="BD20" s="28">
        <v>420000</v>
      </c>
      <c r="BE20" s="28">
        <v>420000</v>
      </c>
      <c r="BF20" s="28">
        <v>0</v>
      </c>
      <c r="BG20" s="28">
        <v>0</v>
      </c>
      <c r="BH20" s="28">
        <v>0</v>
      </c>
      <c r="BI20" s="28">
        <v>2640000</v>
      </c>
      <c r="BJ20" s="28">
        <v>462200</v>
      </c>
      <c r="BK20" s="28">
        <v>3102200</v>
      </c>
      <c r="BL20" s="28">
        <v>3102200</v>
      </c>
      <c r="BM20" s="28">
        <v>0</v>
      </c>
      <c r="BN20" s="28">
        <v>0</v>
      </c>
      <c r="BO20" s="28">
        <v>0</v>
      </c>
      <c r="BP20" s="28">
        <v>19463837</v>
      </c>
      <c r="BQ20" s="28">
        <v>2576430</v>
      </c>
      <c r="BR20" s="28">
        <v>22040267</v>
      </c>
      <c r="BS20" s="28">
        <v>22040267</v>
      </c>
      <c r="BT20" s="28">
        <v>0</v>
      </c>
      <c r="BU20" s="28">
        <v>0</v>
      </c>
      <c r="BV20" s="28">
        <v>0</v>
      </c>
      <c r="BW20" s="28">
        <v>0</v>
      </c>
      <c r="BX20" s="28">
        <v>0</v>
      </c>
      <c r="BY20" s="28">
        <v>7252048</v>
      </c>
      <c r="BZ20" s="28">
        <v>7252048</v>
      </c>
      <c r="CA20" s="28">
        <v>7252048</v>
      </c>
      <c r="CB20" s="28">
        <v>0</v>
      </c>
      <c r="CC20" s="28">
        <v>5000000</v>
      </c>
      <c r="CD20" s="28">
        <v>0</v>
      </c>
      <c r="CE20" s="28">
        <v>5000000</v>
      </c>
      <c r="CF20" s="28">
        <v>0</v>
      </c>
      <c r="CG20" s="28">
        <v>8891115</v>
      </c>
      <c r="CH20" s="28">
        <v>8891115</v>
      </c>
      <c r="CI20" s="29">
        <v>13891115</v>
      </c>
    </row>
    <row r="21" spans="1:87" x14ac:dyDescent="0.25">
      <c r="A21" s="14" t="s">
        <v>12</v>
      </c>
      <c r="B21" s="28">
        <v>0</v>
      </c>
      <c r="C21" s="28">
        <v>44991320</v>
      </c>
      <c r="D21" s="28">
        <v>44991320</v>
      </c>
      <c r="E21" s="28">
        <v>139430858</v>
      </c>
      <c r="F21" s="28">
        <v>184126748</v>
      </c>
      <c r="G21" s="28">
        <v>323557606</v>
      </c>
      <c r="H21" s="28">
        <v>368548926</v>
      </c>
      <c r="I21" s="28">
        <v>0</v>
      </c>
      <c r="J21" s="28">
        <v>52101016</v>
      </c>
      <c r="K21" s="28">
        <v>52101016</v>
      </c>
      <c r="L21" s="28">
        <v>234382063</v>
      </c>
      <c r="M21" s="28">
        <v>96893367</v>
      </c>
      <c r="N21" s="28">
        <v>331275430</v>
      </c>
      <c r="O21" s="28">
        <v>383376446</v>
      </c>
      <c r="P21" s="28">
        <v>0</v>
      </c>
      <c r="Q21" s="28">
        <f>51.660477*1000000</f>
        <v>51660477</v>
      </c>
      <c r="R21" s="28">
        <f>51.660477*1000000</f>
        <v>51660477</v>
      </c>
      <c r="S21" s="28">
        <f>241.364428*1000000</f>
        <v>241364428</v>
      </c>
      <c r="T21" s="28">
        <f>174.2461*1000000</f>
        <v>174246100</v>
      </c>
      <c r="U21" s="28">
        <f>415.610528*1000000</f>
        <v>415610528</v>
      </c>
      <c r="V21" s="28">
        <f>467.271005*1000000</f>
        <v>467271005</v>
      </c>
      <c r="W21" s="28">
        <v>0</v>
      </c>
      <c r="X21" s="28">
        <v>54748900</v>
      </c>
      <c r="Y21" s="28">
        <v>54748900</v>
      </c>
      <c r="Z21" s="28">
        <v>240234503</v>
      </c>
      <c r="AA21" s="28">
        <v>181956700</v>
      </c>
      <c r="AB21" s="28">
        <v>422191203</v>
      </c>
      <c r="AC21" s="28">
        <v>476940103</v>
      </c>
      <c r="AD21" s="28">
        <v>0</v>
      </c>
      <c r="AE21" s="28">
        <f>54.42*1000000</f>
        <v>54420000</v>
      </c>
      <c r="AF21" s="28">
        <f>54.42*1000000</f>
        <v>54420000</v>
      </c>
      <c r="AG21" s="28">
        <f>218.573765*1000000</f>
        <v>218573765</v>
      </c>
      <c r="AH21" s="28">
        <f>305.254*1000000</f>
        <v>305254000</v>
      </c>
      <c r="AI21" s="28">
        <f>523.827765*1000000</f>
        <v>523827765</v>
      </c>
      <c r="AJ21" s="28">
        <f>578.247765*1000000</f>
        <v>578247765</v>
      </c>
      <c r="AK21" s="28">
        <v>0</v>
      </c>
      <c r="AL21" s="28">
        <f>38.326639*1000000</f>
        <v>38326639</v>
      </c>
      <c r="AM21" s="28">
        <v>38326639</v>
      </c>
      <c r="AN21" s="28">
        <v>107058676</v>
      </c>
      <c r="AO21" s="28">
        <v>380764100</v>
      </c>
      <c r="AP21" s="28">
        <v>487822776</v>
      </c>
      <c r="AQ21" s="28">
        <v>526149415</v>
      </c>
      <c r="AR21" s="28">
        <v>0</v>
      </c>
      <c r="AS21" s="28">
        <v>23502884</v>
      </c>
      <c r="AT21" s="28">
        <v>23502884</v>
      </c>
      <c r="AU21" s="28">
        <v>193944836</v>
      </c>
      <c r="AV21" s="28">
        <v>214974934</v>
      </c>
      <c r="AW21" s="28">
        <v>408919770</v>
      </c>
      <c r="AX21" s="28">
        <v>432422654</v>
      </c>
      <c r="AY21" s="28">
        <v>0</v>
      </c>
      <c r="AZ21" s="28">
        <v>0</v>
      </c>
      <c r="BA21" s="28">
        <v>0</v>
      </c>
      <c r="BB21" s="28">
        <v>7675750</v>
      </c>
      <c r="BC21" s="28">
        <v>54592680</v>
      </c>
      <c r="BD21" s="28">
        <v>62268430</v>
      </c>
      <c r="BE21" s="28">
        <v>62268430</v>
      </c>
      <c r="BF21" s="28">
        <v>0</v>
      </c>
      <c r="BG21" s="28">
        <v>0</v>
      </c>
      <c r="BH21" s="28">
        <v>0</v>
      </c>
      <c r="BI21" s="28">
        <v>11608268</v>
      </c>
      <c r="BJ21" s="28">
        <v>56625779</v>
      </c>
      <c r="BK21" s="28">
        <v>68234047</v>
      </c>
      <c r="BL21" s="28">
        <v>68234047</v>
      </c>
      <c r="BM21" s="28">
        <v>0</v>
      </c>
      <c r="BN21" s="28">
        <v>0</v>
      </c>
      <c r="BO21" s="28">
        <v>0</v>
      </c>
      <c r="BP21" s="28">
        <v>0</v>
      </c>
      <c r="BQ21" s="28">
        <v>53448695</v>
      </c>
      <c r="BR21" s="28">
        <v>53448695</v>
      </c>
      <c r="BS21" s="28">
        <v>53448695</v>
      </c>
      <c r="BT21" s="28">
        <v>0</v>
      </c>
      <c r="BU21" s="28">
        <v>0</v>
      </c>
      <c r="BV21" s="28">
        <v>0</v>
      </c>
      <c r="BW21" s="28">
        <v>0</v>
      </c>
      <c r="BX21" s="28">
        <v>0</v>
      </c>
      <c r="BY21" s="28">
        <v>38075303</v>
      </c>
      <c r="BZ21" s="28">
        <v>38075303</v>
      </c>
      <c r="CA21" s="28">
        <v>38075303</v>
      </c>
      <c r="CB21" s="28">
        <v>0</v>
      </c>
      <c r="CC21" s="28">
        <v>0</v>
      </c>
      <c r="CD21" s="28">
        <v>0</v>
      </c>
      <c r="CE21" s="28">
        <v>0</v>
      </c>
      <c r="CF21" s="28">
        <v>0</v>
      </c>
      <c r="CG21" s="28">
        <v>0</v>
      </c>
      <c r="CH21" s="28">
        <v>0</v>
      </c>
      <c r="CI21" s="29">
        <v>0</v>
      </c>
    </row>
    <row r="22" spans="1:87" x14ac:dyDescent="0.25">
      <c r="A22" s="14" t="s">
        <v>13</v>
      </c>
      <c r="B22" s="28">
        <v>0</v>
      </c>
      <c r="C22" s="28">
        <v>11000000</v>
      </c>
      <c r="D22" s="28">
        <v>11000000</v>
      </c>
      <c r="E22" s="28">
        <v>0</v>
      </c>
      <c r="F22" s="28">
        <v>0</v>
      </c>
      <c r="G22" s="28">
        <v>0</v>
      </c>
      <c r="H22" s="28">
        <v>11000000</v>
      </c>
      <c r="I22" s="28">
        <v>0</v>
      </c>
      <c r="J22" s="28">
        <v>11300000</v>
      </c>
      <c r="K22" s="28">
        <v>11300000</v>
      </c>
      <c r="L22" s="28">
        <v>9949341.5</v>
      </c>
      <c r="M22" s="28">
        <v>0</v>
      </c>
      <c r="N22" s="28">
        <v>9949341.5</v>
      </c>
      <c r="O22" s="28">
        <v>21249341.5</v>
      </c>
      <c r="P22" s="28">
        <v>0</v>
      </c>
      <c r="Q22" s="28">
        <f>11.825*1000000</f>
        <v>11825000</v>
      </c>
      <c r="R22" s="28">
        <f>11.825*1000000</f>
        <v>11825000</v>
      </c>
      <c r="S22" s="28">
        <f>8.570344*1000000</f>
        <v>8570344</v>
      </c>
      <c r="T22" s="28">
        <v>0</v>
      </c>
      <c r="U22" s="28">
        <f>8.570344*1000000</f>
        <v>8570344</v>
      </c>
      <c r="V22" s="28">
        <f>20.395344*1000000</f>
        <v>20395344</v>
      </c>
      <c r="W22" s="28">
        <v>0</v>
      </c>
      <c r="X22" s="28">
        <v>20000000</v>
      </c>
      <c r="Y22" s="28">
        <v>20000000</v>
      </c>
      <c r="Z22" s="28">
        <v>17292646</v>
      </c>
      <c r="AA22" s="28">
        <v>41510100</v>
      </c>
      <c r="AB22" s="28">
        <v>58802746</v>
      </c>
      <c r="AC22" s="28">
        <v>78802746</v>
      </c>
      <c r="AD22" s="28">
        <v>0</v>
      </c>
      <c r="AE22" s="28">
        <f>18.31*1000000</f>
        <v>18310000</v>
      </c>
      <c r="AF22" s="28">
        <f>18.31*1000000</f>
        <v>18310000</v>
      </c>
      <c r="AG22" s="28">
        <f>11.459*1000000</f>
        <v>11459000</v>
      </c>
      <c r="AH22" s="28">
        <f>1.144*1000000</f>
        <v>1144000</v>
      </c>
      <c r="AI22" s="28">
        <f>12.603*1000000</f>
        <v>12603000</v>
      </c>
      <c r="AJ22" s="28">
        <f>30.913*1000000</f>
        <v>30913000</v>
      </c>
      <c r="AK22" s="28">
        <v>0</v>
      </c>
      <c r="AL22" s="28">
        <f>5.009802*1000000</f>
        <v>5009802</v>
      </c>
      <c r="AM22" s="28">
        <v>5009802</v>
      </c>
      <c r="AN22" s="28">
        <v>6613879</v>
      </c>
      <c r="AO22" s="28">
        <v>6473000</v>
      </c>
      <c r="AP22" s="28">
        <v>13086879</v>
      </c>
      <c r="AQ22" s="28">
        <v>18096681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S22" s="28">
        <v>0</v>
      </c>
      <c r="BT22" s="28">
        <v>0</v>
      </c>
      <c r="BU22" s="28">
        <v>0</v>
      </c>
      <c r="BV22" s="28">
        <v>0</v>
      </c>
      <c r="BW22" s="28">
        <v>0</v>
      </c>
      <c r="BX22" s="28">
        <v>0</v>
      </c>
      <c r="BY22" s="28">
        <v>0</v>
      </c>
      <c r="BZ22" s="28">
        <v>0</v>
      </c>
      <c r="CA22" s="28">
        <v>0</v>
      </c>
      <c r="CB22" s="28">
        <v>0</v>
      </c>
      <c r="CC22" s="28">
        <v>0</v>
      </c>
      <c r="CD22" s="28">
        <v>0</v>
      </c>
      <c r="CE22" s="28">
        <v>0</v>
      </c>
      <c r="CF22" s="28">
        <v>0</v>
      </c>
      <c r="CG22" s="28">
        <v>0</v>
      </c>
      <c r="CH22" s="28">
        <v>0</v>
      </c>
      <c r="CI22" s="29">
        <v>0</v>
      </c>
    </row>
    <row r="23" spans="1:87" x14ac:dyDescent="0.25">
      <c r="A23" s="14" t="s">
        <v>14</v>
      </c>
      <c r="B23" s="28">
        <v>0</v>
      </c>
      <c r="C23" s="28">
        <v>9000000.0199999996</v>
      </c>
      <c r="D23" s="28">
        <v>9000000.0199999996</v>
      </c>
      <c r="E23" s="28">
        <v>0</v>
      </c>
      <c r="F23" s="28">
        <v>0</v>
      </c>
      <c r="G23" s="28">
        <v>0</v>
      </c>
      <c r="H23" s="28">
        <v>9000000.0199999996</v>
      </c>
      <c r="I23" s="28">
        <v>0</v>
      </c>
      <c r="J23" s="28">
        <v>18298792</v>
      </c>
      <c r="K23" s="28">
        <v>18298792</v>
      </c>
      <c r="L23" s="28">
        <v>7910859.2999999998</v>
      </c>
      <c r="M23" s="28">
        <v>7824000</v>
      </c>
      <c r="N23" s="28">
        <v>15734859.300000001</v>
      </c>
      <c r="O23" s="28">
        <v>34033651.299999997</v>
      </c>
      <c r="P23" s="28">
        <v>0</v>
      </c>
      <c r="Q23" s="28">
        <f>18.8535*1000000</f>
        <v>18853500</v>
      </c>
      <c r="R23" s="28">
        <f>18.8535*1000000</f>
        <v>18853500</v>
      </c>
      <c r="S23" s="28">
        <f>25.312105*1000000</f>
        <v>25312105</v>
      </c>
      <c r="T23" s="28">
        <f>1.484563*1000000</f>
        <v>1484563</v>
      </c>
      <c r="U23" s="28">
        <f>26.796668*1000000</f>
        <v>26796668</v>
      </c>
      <c r="V23" s="28">
        <f>45.650168*1000000</f>
        <v>45650168</v>
      </c>
      <c r="W23" s="28">
        <v>0</v>
      </c>
      <c r="X23" s="28">
        <v>32403200</v>
      </c>
      <c r="Y23" s="28">
        <v>32403200</v>
      </c>
      <c r="Z23" s="28">
        <v>9000000</v>
      </c>
      <c r="AA23" s="28">
        <v>1484570</v>
      </c>
      <c r="AB23" s="28">
        <v>10484570</v>
      </c>
      <c r="AC23" s="28">
        <v>42887770</v>
      </c>
      <c r="AD23" s="28">
        <v>0</v>
      </c>
      <c r="AE23" s="28">
        <f>19.223978*1000000</f>
        <v>19223978</v>
      </c>
      <c r="AF23" s="28">
        <f>19.223978*1000000</f>
        <v>19223978</v>
      </c>
      <c r="AG23" s="28">
        <f>0.8785*1000000</f>
        <v>878500</v>
      </c>
      <c r="AH23" s="28">
        <f>23.5*1000000</f>
        <v>23500000</v>
      </c>
      <c r="AI23" s="28">
        <f>24.3785*1000000</f>
        <v>24378500</v>
      </c>
      <c r="AJ23" s="28">
        <f>43.602478*1000000</f>
        <v>43602478</v>
      </c>
      <c r="AK23" s="28">
        <v>0</v>
      </c>
      <c r="AL23" s="28">
        <f>25.337293*1000000</f>
        <v>25337293</v>
      </c>
      <c r="AM23" s="28">
        <v>25337293</v>
      </c>
      <c r="AN23" s="28">
        <v>13518179</v>
      </c>
      <c r="AO23" s="28">
        <v>55866537</v>
      </c>
      <c r="AP23" s="28">
        <v>69384716</v>
      </c>
      <c r="AQ23" s="28">
        <v>94722009</v>
      </c>
      <c r="AR23" s="28">
        <v>0</v>
      </c>
      <c r="AS23" s="28">
        <v>40925151</v>
      </c>
      <c r="AT23" s="28">
        <v>40925151</v>
      </c>
      <c r="AU23" s="28">
        <v>1123500</v>
      </c>
      <c r="AV23" s="28">
        <v>56818884</v>
      </c>
      <c r="AW23" s="28">
        <v>57942384</v>
      </c>
      <c r="AX23" s="28">
        <v>98867535</v>
      </c>
      <c r="AY23" s="28">
        <v>0</v>
      </c>
      <c r="AZ23" s="28">
        <v>46140231</v>
      </c>
      <c r="BA23" s="28">
        <v>46140231</v>
      </c>
      <c r="BB23" s="28">
        <v>1572063</v>
      </c>
      <c r="BC23" s="28">
        <v>29146226</v>
      </c>
      <c r="BD23" s="28">
        <v>30718289</v>
      </c>
      <c r="BE23" s="28">
        <v>76858520</v>
      </c>
      <c r="BF23" s="28">
        <v>0</v>
      </c>
      <c r="BG23" s="28">
        <v>38800347</v>
      </c>
      <c r="BH23" s="28">
        <v>38800347</v>
      </c>
      <c r="BI23" s="28">
        <v>0</v>
      </c>
      <c r="BJ23" s="28">
        <v>0</v>
      </c>
      <c r="BK23" s="28">
        <v>0</v>
      </c>
      <c r="BL23" s="28">
        <v>38800347</v>
      </c>
      <c r="BM23" s="28">
        <v>0</v>
      </c>
      <c r="BN23" s="28">
        <v>46689338</v>
      </c>
      <c r="BO23" s="28">
        <v>46689338</v>
      </c>
      <c r="BP23" s="28">
        <v>40614113</v>
      </c>
      <c r="BQ23" s="28">
        <v>0</v>
      </c>
      <c r="BR23" s="28">
        <v>40614113</v>
      </c>
      <c r="BS23" s="28">
        <v>87303451</v>
      </c>
      <c r="BT23" s="28">
        <v>0</v>
      </c>
      <c r="BU23" s="28">
        <v>137731144</v>
      </c>
      <c r="BV23" s="28">
        <v>0</v>
      </c>
      <c r="BW23" s="28">
        <v>137731144</v>
      </c>
      <c r="BX23" s="28">
        <v>3104625</v>
      </c>
      <c r="BY23" s="28">
        <v>0</v>
      </c>
      <c r="BZ23" s="28">
        <v>3104625</v>
      </c>
      <c r="CA23" s="28">
        <v>140835769</v>
      </c>
      <c r="CB23" s="28">
        <v>0</v>
      </c>
      <c r="CC23" s="28">
        <v>228128944</v>
      </c>
      <c r="CD23" s="28">
        <v>0</v>
      </c>
      <c r="CE23" s="28">
        <v>228128944</v>
      </c>
      <c r="CF23" s="28">
        <v>0</v>
      </c>
      <c r="CG23" s="28">
        <v>0</v>
      </c>
      <c r="CH23" s="28">
        <v>0</v>
      </c>
      <c r="CI23" s="29">
        <v>228128944</v>
      </c>
    </row>
    <row r="24" spans="1:87" x14ac:dyDescent="0.25">
      <c r="A24" s="14" t="s">
        <v>15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15000000</v>
      </c>
      <c r="K24" s="28">
        <v>15000000</v>
      </c>
      <c r="L24" s="28">
        <v>0</v>
      </c>
      <c r="M24" s="28">
        <v>0</v>
      </c>
      <c r="N24" s="28">
        <v>0</v>
      </c>
      <c r="O24" s="28">
        <v>15000000</v>
      </c>
      <c r="P24" s="28">
        <v>0</v>
      </c>
      <c r="Q24" s="28">
        <f>20*1000000</f>
        <v>20000000</v>
      </c>
      <c r="R24" s="28">
        <f>20*1000000</f>
        <v>20000000</v>
      </c>
      <c r="S24" s="28">
        <v>0</v>
      </c>
      <c r="T24" s="28">
        <v>0</v>
      </c>
      <c r="U24" s="28">
        <v>0</v>
      </c>
      <c r="V24" s="28">
        <f>20*1000000</f>
        <v>20000000</v>
      </c>
      <c r="W24" s="28">
        <v>0</v>
      </c>
      <c r="X24" s="28">
        <v>20825000</v>
      </c>
      <c r="Y24" s="28">
        <v>20825000</v>
      </c>
      <c r="Z24" s="28">
        <v>0</v>
      </c>
      <c r="AA24" s="28">
        <v>0</v>
      </c>
      <c r="AB24" s="28">
        <v>0</v>
      </c>
      <c r="AC24" s="28">
        <v>20825000</v>
      </c>
      <c r="AD24" s="28">
        <v>0</v>
      </c>
      <c r="AE24" s="28">
        <f>23*1000000</f>
        <v>23000000</v>
      </c>
      <c r="AF24" s="28">
        <f>23*1000000</f>
        <v>23000000</v>
      </c>
      <c r="AG24" s="28">
        <v>0</v>
      </c>
      <c r="AH24" s="28">
        <v>0</v>
      </c>
      <c r="AI24" s="28">
        <v>0</v>
      </c>
      <c r="AJ24" s="28">
        <f>23*1000000</f>
        <v>23000000</v>
      </c>
      <c r="AK24" s="28">
        <v>0</v>
      </c>
      <c r="AL24" s="28">
        <f>23*1000000</f>
        <v>23000000</v>
      </c>
      <c r="AM24" s="28">
        <v>23000000</v>
      </c>
      <c r="AN24" s="28">
        <v>0</v>
      </c>
      <c r="AO24" s="28">
        <v>0</v>
      </c>
      <c r="AP24" s="28">
        <v>0</v>
      </c>
      <c r="AQ24" s="28">
        <v>23000000</v>
      </c>
      <c r="AR24" s="28">
        <v>0</v>
      </c>
      <c r="AS24" s="28">
        <v>24392300</v>
      </c>
      <c r="AT24" s="28">
        <v>24392300</v>
      </c>
      <c r="AU24" s="28">
        <v>0</v>
      </c>
      <c r="AV24" s="28">
        <v>10500000</v>
      </c>
      <c r="AW24" s="28">
        <v>10500000</v>
      </c>
      <c r="AX24" s="28">
        <v>34892300</v>
      </c>
      <c r="AY24" s="28">
        <v>0</v>
      </c>
      <c r="AZ24" s="28">
        <v>35854991</v>
      </c>
      <c r="BA24" s="28">
        <v>35854991</v>
      </c>
      <c r="BB24" s="28">
        <v>0</v>
      </c>
      <c r="BC24" s="28">
        <v>39500600</v>
      </c>
      <c r="BD24" s="28">
        <v>39500600</v>
      </c>
      <c r="BE24" s="28">
        <v>75355591</v>
      </c>
      <c r="BF24" s="28">
        <v>0</v>
      </c>
      <c r="BG24" s="28">
        <v>32799998.000000004</v>
      </c>
      <c r="BH24" s="28">
        <v>32799998.000000004</v>
      </c>
      <c r="BI24" s="28">
        <v>0</v>
      </c>
      <c r="BJ24" s="28">
        <v>49060999</v>
      </c>
      <c r="BK24" s="28">
        <v>49060999</v>
      </c>
      <c r="BL24" s="28">
        <v>81860997</v>
      </c>
      <c r="BM24" s="28">
        <v>0</v>
      </c>
      <c r="BN24" s="28">
        <v>34439991</v>
      </c>
      <c r="BO24" s="28">
        <v>34439991</v>
      </c>
      <c r="BP24" s="28">
        <v>0</v>
      </c>
      <c r="BQ24" s="28">
        <v>23059900</v>
      </c>
      <c r="BR24" s="28">
        <v>23059900</v>
      </c>
      <c r="BS24" s="28">
        <v>57499891</v>
      </c>
      <c r="BT24" s="28">
        <v>0</v>
      </c>
      <c r="BU24" s="28">
        <v>35000000</v>
      </c>
      <c r="BV24" s="28">
        <v>0</v>
      </c>
      <c r="BW24" s="28">
        <v>35000000</v>
      </c>
      <c r="BX24" s="28">
        <v>0</v>
      </c>
      <c r="BY24" s="28">
        <v>61570000</v>
      </c>
      <c r="BZ24" s="28">
        <v>61570000</v>
      </c>
      <c r="CA24" s="28">
        <v>96570000</v>
      </c>
      <c r="CB24" s="28">
        <v>0</v>
      </c>
      <c r="CC24" s="28">
        <v>40000000</v>
      </c>
      <c r="CD24" s="28">
        <v>0</v>
      </c>
      <c r="CE24" s="28">
        <v>40000000</v>
      </c>
      <c r="CF24" s="28">
        <v>62500000</v>
      </c>
      <c r="CG24" s="28">
        <v>60000000</v>
      </c>
      <c r="CH24" s="28">
        <v>122500000</v>
      </c>
      <c r="CI24" s="29">
        <v>162500000</v>
      </c>
    </row>
    <row r="25" spans="1:87" x14ac:dyDescent="0.25">
      <c r="A25" s="14" t="s">
        <v>16</v>
      </c>
      <c r="B25" s="28">
        <v>0</v>
      </c>
      <c r="C25" s="28">
        <v>15104650.300000001</v>
      </c>
      <c r="D25" s="28">
        <v>15104650.300000001</v>
      </c>
      <c r="E25" s="28">
        <v>1005000</v>
      </c>
      <c r="F25" s="28">
        <v>0</v>
      </c>
      <c r="G25" s="28">
        <v>1005000</v>
      </c>
      <c r="H25" s="28">
        <v>16109650.300000001</v>
      </c>
      <c r="I25" s="28">
        <v>0</v>
      </c>
      <c r="J25" s="28">
        <v>15000000</v>
      </c>
      <c r="K25" s="28">
        <v>15000000</v>
      </c>
      <c r="L25" s="28">
        <v>0</v>
      </c>
      <c r="M25" s="28">
        <v>0</v>
      </c>
      <c r="N25" s="28">
        <v>0</v>
      </c>
      <c r="O25" s="28">
        <v>15000000</v>
      </c>
      <c r="P25" s="28">
        <v>0</v>
      </c>
      <c r="Q25" s="28">
        <f>15.580592*1000000</f>
        <v>15580592</v>
      </c>
      <c r="R25" s="28">
        <f>15.580592*1000000</f>
        <v>15580592</v>
      </c>
      <c r="S25" s="28">
        <v>0</v>
      </c>
      <c r="T25" s="28">
        <v>0</v>
      </c>
      <c r="U25" s="28">
        <v>0</v>
      </c>
      <c r="V25" s="28">
        <f>15.580592*1000000</f>
        <v>15580592</v>
      </c>
      <c r="W25" s="28">
        <v>0</v>
      </c>
      <c r="X25" s="28">
        <v>23000000</v>
      </c>
      <c r="Y25" s="28">
        <v>23000000</v>
      </c>
      <c r="Z25" s="28">
        <v>0</v>
      </c>
      <c r="AA25" s="28">
        <v>0</v>
      </c>
      <c r="AB25" s="28">
        <v>0</v>
      </c>
      <c r="AC25" s="28">
        <v>23000000</v>
      </c>
      <c r="AD25" s="28">
        <v>0</v>
      </c>
      <c r="AE25" s="28">
        <f>23*1000000</f>
        <v>23000000</v>
      </c>
      <c r="AF25" s="28">
        <f>23*1000000</f>
        <v>23000000</v>
      </c>
      <c r="AG25" s="28">
        <v>0</v>
      </c>
      <c r="AH25" s="28">
        <v>0</v>
      </c>
      <c r="AI25" s="28">
        <v>0</v>
      </c>
      <c r="AJ25" s="28">
        <f>23*1000000</f>
        <v>23000000</v>
      </c>
      <c r="AK25" s="28">
        <v>0</v>
      </c>
      <c r="AL25" s="28">
        <f>23*1000000</f>
        <v>23000000</v>
      </c>
      <c r="AM25" s="28">
        <v>23000000</v>
      </c>
      <c r="AN25" s="28">
        <v>0</v>
      </c>
      <c r="AO25" s="28">
        <v>0</v>
      </c>
      <c r="AP25" s="28">
        <v>0</v>
      </c>
      <c r="AQ25" s="28">
        <v>23000000</v>
      </c>
      <c r="AR25" s="28">
        <v>0</v>
      </c>
      <c r="AS25" s="28">
        <v>23258200</v>
      </c>
      <c r="AT25" s="28">
        <v>23258200</v>
      </c>
      <c r="AU25" s="28">
        <v>0</v>
      </c>
      <c r="AV25" s="28">
        <v>0</v>
      </c>
      <c r="AW25" s="28">
        <v>0</v>
      </c>
      <c r="AX25" s="28">
        <v>23258200</v>
      </c>
      <c r="AY25" s="28">
        <v>0</v>
      </c>
      <c r="AZ25" s="28">
        <v>32539000</v>
      </c>
      <c r="BA25" s="28">
        <v>32539000</v>
      </c>
      <c r="BB25" s="28">
        <v>0</v>
      </c>
      <c r="BC25" s="28">
        <v>0</v>
      </c>
      <c r="BD25" s="28">
        <v>0</v>
      </c>
      <c r="BE25" s="28">
        <v>32539000</v>
      </c>
      <c r="BF25" s="28">
        <v>0</v>
      </c>
      <c r="BG25" s="28">
        <v>32799990</v>
      </c>
      <c r="BH25" s="28">
        <v>32799990</v>
      </c>
      <c r="BI25" s="28">
        <v>0</v>
      </c>
      <c r="BJ25" s="28">
        <v>0</v>
      </c>
      <c r="BK25" s="28">
        <v>0</v>
      </c>
      <c r="BL25" s="28">
        <v>32799990</v>
      </c>
      <c r="BM25" s="28">
        <v>0</v>
      </c>
      <c r="BN25" s="28">
        <v>34439988</v>
      </c>
      <c r="BO25" s="28">
        <v>34439988</v>
      </c>
      <c r="BP25" s="28">
        <v>0</v>
      </c>
      <c r="BQ25" s="28">
        <v>0</v>
      </c>
      <c r="BR25" s="28">
        <v>0</v>
      </c>
      <c r="BS25" s="28">
        <v>34439988</v>
      </c>
      <c r="BT25" s="28">
        <v>0</v>
      </c>
      <c r="BU25" s="28">
        <v>35000000</v>
      </c>
      <c r="BV25" s="28">
        <v>0</v>
      </c>
      <c r="BW25" s="28">
        <v>35000000</v>
      </c>
      <c r="BX25" s="28">
        <v>0</v>
      </c>
      <c r="BY25" s="28">
        <v>0</v>
      </c>
      <c r="BZ25" s="28">
        <v>0</v>
      </c>
      <c r="CA25" s="28">
        <v>35000000</v>
      </c>
      <c r="CB25" s="28">
        <v>0</v>
      </c>
      <c r="CC25" s="28">
        <v>41029095</v>
      </c>
      <c r="CD25" s="28">
        <v>0</v>
      </c>
      <c r="CE25" s="28">
        <v>41029095</v>
      </c>
      <c r="CF25" s="28">
        <v>0</v>
      </c>
      <c r="CG25" s="28">
        <v>0</v>
      </c>
      <c r="CH25" s="28">
        <v>0</v>
      </c>
      <c r="CI25" s="29">
        <v>41029095</v>
      </c>
    </row>
    <row r="26" spans="1:87" x14ac:dyDescent="0.25">
      <c r="A26" s="14" t="s">
        <v>17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f>41.8*1000000</f>
        <v>41800000</v>
      </c>
      <c r="R26" s="28">
        <f>41.8*1000000</f>
        <v>41800000</v>
      </c>
      <c r="S26" s="28">
        <v>0</v>
      </c>
      <c r="T26" s="28">
        <v>0</v>
      </c>
      <c r="U26" s="28">
        <v>0</v>
      </c>
      <c r="V26" s="28">
        <f>41.8*1000000</f>
        <v>41800000</v>
      </c>
      <c r="W26" s="28">
        <v>0</v>
      </c>
      <c r="X26" s="28">
        <v>10000000</v>
      </c>
      <c r="Y26" s="28">
        <v>10000000</v>
      </c>
      <c r="Z26" s="28">
        <v>0</v>
      </c>
      <c r="AA26" s="28">
        <v>0</v>
      </c>
      <c r="AB26" s="28">
        <v>0</v>
      </c>
      <c r="AC26" s="28">
        <v>10000000</v>
      </c>
      <c r="AD26" s="28">
        <v>0</v>
      </c>
      <c r="AE26" s="28">
        <f>10*1000000</f>
        <v>10000000</v>
      </c>
      <c r="AF26" s="28">
        <f>10*1000000</f>
        <v>10000000</v>
      </c>
      <c r="AG26" s="28">
        <v>0</v>
      </c>
      <c r="AH26" s="28">
        <v>0</v>
      </c>
      <c r="AI26" s="28">
        <v>0</v>
      </c>
      <c r="AJ26" s="28">
        <f>10*1000000</f>
        <v>10000000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S26" s="28">
        <v>0</v>
      </c>
      <c r="BT26" s="28">
        <v>0</v>
      </c>
      <c r="BU26" s="28">
        <v>0</v>
      </c>
      <c r="BV26" s="28">
        <v>0</v>
      </c>
      <c r="BW26" s="28">
        <v>0</v>
      </c>
      <c r="BX26" s="28">
        <v>0</v>
      </c>
      <c r="BY26" s="28">
        <v>0</v>
      </c>
      <c r="BZ26" s="28">
        <v>0</v>
      </c>
      <c r="CA26" s="28">
        <v>0</v>
      </c>
      <c r="CB26" s="28">
        <v>0</v>
      </c>
      <c r="CC26" s="28">
        <v>0</v>
      </c>
      <c r="CD26" s="28">
        <v>0</v>
      </c>
      <c r="CE26" s="28">
        <v>0</v>
      </c>
      <c r="CF26" s="28">
        <v>2323962</v>
      </c>
      <c r="CG26" s="28">
        <v>0</v>
      </c>
      <c r="CH26" s="28">
        <v>2323962</v>
      </c>
      <c r="CI26" s="29">
        <v>2323962</v>
      </c>
    </row>
    <row r="27" spans="1:87" x14ac:dyDescent="0.25">
      <c r="A27" s="14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f>5.484348*1000000</f>
        <v>5484348</v>
      </c>
      <c r="U27" s="28">
        <f>5.484348*1000000</f>
        <v>5484348</v>
      </c>
      <c r="V27" s="28">
        <f>5.484348*1000000</f>
        <v>5484348</v>
      </c>
      <c r="W27" s="28">
        <v>0</v>
      </c>
      <c r="X27" s="28">
        <v>112000</v>
      </c>
      <c r="Y27" s="28">
        <v>112000</v>
      </c>
      <c r="Z27" s="28">
        <v>665000</v>
      </c>
      <c r="AA27" s="28">
        <v>3200000</v>
      </c>
      <c r="AB27" s="28">
        <v>3865000</v>
      </c>
      <c r="AC27" s="28">
        <v>3977000</v>
      </c>
      <c r="AD27" s="28">
        <v>0</v>
      </c>
      <c r="AE27" s="28">
        <f>0.115*1000000</f>
        <v>115000</v>
      </c>
      <c r="AF27" s="28">
        <f>0.115*1000000</f>
        <v>115000</v>
      </c>
      <c r="AG27" s="28">
        <f>0.665*1000000</f>
        <v>665000</v>
      </c>
      <c r="AH27" s="28">
        <f>31.4055*1000000</f>
        <v>31405500</v>
      </c>
      <c r="AI27" s="28">
        <f>32.0705*1000000</f>
        <v>32070500.000000004</v>
      </c>
      <c r="AJ27" s="28">
        <f>32.1855*1000000</f>
        <v>32185499.999999996</v>
      </c>
      <c r="AK27" s="28">
        <v>0</v>
      </c>
      <c r="AL27" s="28">
        <f>0.115*1000000</f>
        <v>115000</v>
      </c>
      <c r="AM27" s="28">
        <v>115000</v>
      </c>
      <c r="AN27" s="28">
        <v>665000</v>
      </c>
      <c r="AO27" s="28">
        <v>92473000</v>
      </c>
      <c r="AP27" s="28">
        <v>93138000</v>
      </c>
      <c r="AQ27" s="28">
        <v>93253000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S27" s="28">
        <v>0</v>
      </c>
      <c r="BT27" s="28">
        <v>0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0</v>
      </c>
      <c r="CD27" s="28">
        <v>0</v>
      </c>
      <c r="CE27" s="28">
        <v>0</v>
      </c>
      <c r="CF27" s="28">
        <v>0</v>
      </c>
      <c r="CG27" s="28">
        <v>0</v>
      </c>
      <c r="CH27" s="28">
        <v>0</v>
      </c>
      <c r="CI27" s="29">
        <v>0</v>
      </c>
    </row>
    <row r="28" spans="1:87" x14ac:dyDescent="0.25">
      <c r="A28" s="14" t="s">
        <v>19</v>
      </c>
      <c r="B28" s="28">
        <v>0</v>
      </c>
      <c r="C28" s="28">
        <v>5350000</v>
      </c>
      <c r="D28" s="28">
        <v>5350000</v>
      </c>
      <c r="E28" s="28">
        <v>0</v>
      </c>
      <c r="F28" s="28">
        <v>22720000</v>
      </c>
      <c r="G28" s="28">
        <v>22720000</v>
      </c>
      <c r="H28" s="28">
        <v>28070000</v>
      </c>
      <c r="I28" s="28">
        <v>0</v>
      </c>
      <c r="J28" s="28">
        <v>5862273.7400000002</v>
      </c>
      <c r="K28" s="28">
        <v>5862273.7400000002</v>
      </c>
      <c r="L28" s="28">
        <v>1930799.48</v>
      </c>
      <c r="M28" s="28">
        <v>5360000</v>
      </c>
      <c r="N28" s="28">
        <v>7290799.4800000004</v>
      </c>
      <c r="O28" s="28">
        <v>13153073.220000001</v>
      </c>
      <c r="P28" s="28">
        <v>0</v>
      </c>
      <c r="Q28" s="28">
        <f>10.713906*1000000</f>
        <v>10713906</v>
      </c>
      <c r="R28" s="28">
        <f>10.713906*1000000</f>
        <v>10713906</v>
      </c>
      <c r="S28" s="28">
        <f>2.196182*1000000</f>
        <v>2196182</v>
      </c>
      <c r="T28" s="28">
        <v>0</v>
      </c>
      <c r="U28" s="28">
        <f>2.196182*1000000</f>
        <v>2196182</v>
      </c>
      <c r="V28" s="28">
        <f>12.910088*1000000</f>
        <v>12910088</v>
      </c>
      <c r="W28" s="28">
        <v>0</v>
      </c>
      <c r="X28" s="28">
        <v>12068866</v>
      </c>
      <c r="Y28" s="28">
        <v>12068866</v>
      </c>
      <c r="Z28" s="28">
        <v>2558316</v>
      </c>
      <c r="AA28" s="28">
        <v>1000000</v>
      </c>
      <c r="AB28" s="28">
        <v>3558316</v>
      </c>
      <c r="AC28" s="28">
        <v>15627182</v>
      </c>
      <c r="AD28" s="28">
        <v>0</v>
      </c>
      <c r="AE28" s="28">
        <f>15.640944*1000000</f>
        <v>15640944</v>
      </c>
      <c r="AF28" s="28">
        <f>15.640944*1000000</f>
        <v>15640944</v>
      </c>
      <c r="AG28" s="28">
        <f>46.334004*1000000</f>
        <v>46334004</v>
      </c>
      <c r="AH28" s="28">
        <f>9.10953*1000000</f>
        <v>9109530</v>
      </c>
      <c r="AI28" s="28">
        <f>55.443534*1000000</f>
        <v>55443534</v>
      </c>
      <c r="AJ28" s="28">
        <f>71.084478*1000000</f>
        <v>71084478</v>
      </c>
      <c r="AK28" s="28">
        <v>0</v>
      </c>
      <c r="AL28" s="28">
        <f>20.591015*1000000</f>
        <v>20591015</v>
      </c>
      <c r="AM28" s="28">
        <v>20591015</v>
      </c>
      <c r="AN28" s="28">
        <v>31198212</v>
      </c>
      <c r="AO28" s="28">
        <v>6496966</v>
      </c>
      <c r="AP28" s="28">
        <v>37695178</v>
      </c>
      <c r="AQ28" s="28">
        <v>58286193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8627499</v>
      </c>
      <c r="BC28" s="28">
        <v>0</v>
      </c>
      <c r="BD28" s="28">
        <v>8627499</v>
      </c>
      <c r="BE28" s="28">
        <v>8627499</v>
      </c>
      <c r="BF28" s="28">
        <v>0</v>
      </c>
      <c r="BG28" s="28">
        <v>0</v>
      </c>
      <c r="BH28" s="28">
        <v>0</v>
      </c>
      <c r="BI28" s="28">
        <v>9077998</v>
      </c>
      <c r="BJ28" s="28">
        <v>0</v>
      </c>
      <c r="BK28" s="28">
        <v>9077998</v>
      </c>
      <c r="BL28" s="28">
        <v>9077998</v>
      </c>
      <c r="BM28" s="28">
        <v>0</v>
      </c>
      <c r="BN28" s="28">
        <v>0</v>
      </c>
      <c r="BO28" s="28">
        <v>0</v>
      </c>
      <c r="BP28" s="28">
        <v>32554872.000000004</v>
      </c>
      <c r="BQ28" s="28">
        <v>0</v>
      </c>
      <c r="BR28" s="28">
        <v>32554872.000000004</v>
      </c>
      <c r="BS28" s="28">
        <v>32554872.000000004</v>
      </c>
      <c r="BT28" s="28">
        <v>0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0</v>
      </c>
      <c r="CD28" s="28">
        <v>0</v>
      </c>
      <c r="CE28" s="28">
        <v>0</v>
      </c>
      <c r="CF28" s="28">
        <v>21014550</v>
      </c>
      <c r="CG28" s="28">
        <v>0</v>
      </c>
      <c r="CH28" s="28">
        <v>21014550</v>
      </c>
      <c r="CI28" s="29">
        <v>21014550</v>
      </c>
    </row>
    <row r="29" spans="1:87" x14ac:dyDescent="0.25">
      <c r="A29" s="14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f>0.146928*1000000</f>
        <v>146928</v>
      </c>
      <c r="R29" s="28">
        <f>0.146928*1000000</f>
        <v>146928</v>
      </c>
      <c r="S29" s="28">
        <f>2.846749*1000000</f>
        <v>2846749</v>
      </c>
      <c r="T29" s="28">
        <v>0</v>
      </c>
      <c r="U29" s="28">
        <f>2.846749*1000000</f>
        <v>2846749</v>
      </c>
      <c r="V29" s="28">
        <f>2.993677*1000000</f>
        <v>2993677</v>
      </c>
      <c r="W29" s="28">
        <v>0</v>
      </c>
      <c r="X29" s="28">
        <v>146928</v>
      </c>
      <c r="Y29" s="28">
        <v>146928</v>
      </c>
      <c r="Z29" s="28">
        <v>2913474</v>
      </c>
      <c r="AA29" s="28">
        <v>0</v>
      </c>
      <c r="AB29" s="28">
        <v>2913474</v>
      </c>
      <c r="AC29" s="28">
        <v>3060402</v>
      </c>
      <c r="AD29" s="28">
        <v>0</v>
      </c>
      <c r="AE29" s="28">
        <f>0.1725*1000000</f>
        <v>172500</v>
      </c>
      <c r="AF29" s="28">
        <f>0.1725*1000000</f>
        <v>172500</v>
      </c>
      <c r="AG29" s="28">
        <f>5.866159*1000000</f>
        <v>5866159</v>
      </c>
      <c r="AH29" s="28">
        <v>0</v>
      </c>
      <c r="AI29" s="28">
        <f>5.866159*1000000</f>
        <v>5866159</v>
      </c>
      <c r="AJ29" s="28">
        <f>6.038659*1000000</f>
        <v>6038659</v>
      </c>
      <c r="AK29" s="28">
        <v>0</v>
      </c>
      <c r="AL29" s="28">
        <f>0.1725*1000000</f>
        <v>172500</v>
      </c>
      <c r="AM29" s="28">
        <v>172500</v>
      </c>
      <c r="AN29" s="28">
        <v>5734607</v>
      </c>
      <c r="AO29" s="28">
        <v>0</v>
      </c>
      <c r="AP29" s="28">
        <v>5734607</v>
      </c>
      <c r="AQ29" s="28">
        <v>5907107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0</v>
      </c>
      <c r="CD29" s="28">
        <v>0</v>
      </c>
      <c r="CE29" s="28">
        <v>0</v>
      </c>
      <c r="CF29" s="28">
        <v>0</v>
      </c>
      <c r="CG29" s="28">
        <v>0</v>
      </c>
      <c r="CH29" s="28">
        <v>0</v>
      </c>
      <c r="CI29" s="29">
        <v>0</v>
      </c>
    </row>
    <row r="30" spans="1:87" x14ac:dyDescent="0.25">
      <c r="A30" s="14" t="s">
        <v>67</v>
      </c>
      <c r="B30" s="28">
        <v>0</v>
      </c>
      <c r="C30" s="28">
        <v>153786</v>
      </c>
      <c r="D30" s="28">
        <v>153786</v>
      </c>
      <c r="E30" s="28">
        <v>1537860</v>
      </c>
      <c r="F30" s="28">
        <v>0</v>
      </c>
      <c r="G30" s="28">
        <v>1537860</v>
      </c>
      <c r="H30" s="28">
        <v>1691646</v>
      </c>
      <c r="I30" s="28">
        <v>0</v>
      </c>
      <c r="J30" s="28">
        <v>106358</v>
      </c>
      <c r="K30" s="28">
        <v>106358</v>
      </c>
      <c r="L30" s="28">
        <v>1063580</v>
      </c>
      <c r="M30" s="28">
        <v>0</v>
      </c>
      <c r="N30" s="28">
        <v>1063580</v>
      </c>
      <c r="O30" s="28">
        <v>1169938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S30" s="28">
        <v>0</v>
      </c>
      <c r="BT30" s="28">
        <v>0</v>
      </c>
      <c r="BU30" s="28">
        <v>0</v>
      </c>
      <c r="BV30" s="28">
        <v>0</v>
      </c>
      <c r="BW30" s="28">
        <v>0</v>
      </c>
      <c r="BX30" s="28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8">
        <v>0</v>
      </c>
      <c r="CF30" s="28">
        <v>0</v>
      </c>
      <c r="CG30" s="28">
        <v>0</v>
      </c>
      <c r="CH30" s="28">
        <v>0</v>
      </c>
      <c r="CI30" s="29">
        <v>0</v>
      </c>
    </row>
    <row r="31" spans="1:87" x14ac:dyDescent="0.25">
      <c r="A31" s="14" t="s">
        <v>21</v>
      </c>
      <c r="B31" s="28">
        <v>0</v>
      </c>
      <c r="C31" s="28">
        <v>4256436.5199999996</v>
      </c>
      <c r="D31" s="28">
        <v>4256436.5199999996</v>
      </c>
      <c r="E31" s="28">
        <v>12518931.310000001</v>
      </c>
      <c r="F31" s="28">
        <v>0</v>
      </c>
      <c r="G31" s="28">
        <v>12518931.310000001</v>
      </c>
      <c r="H31" s="28">
        <v>16775367.83</v>
      </c>
      <c r="I31" s="28">
        <v>0</v>
      </c>
      <c r="J31" s="28">
        <v>2498475.5499999998</v>
      </c>
      <c r="K31" s="28">
        <v>2498475.5499999998</v>
      </c>
      <c r="L31" s="28">
        <v>16901711.960000001</v>
      </c>
      <c r="M31" s="28">
        <v>0</v>
      </c>
      <c r="N31" s="28">
        <v>16901711.960000001</v>
      </c>
      <c r="O31" s="28">
        <v>19400187.510000002</v>
      </c>
      <c r="P31" s="28">
        <v>0</v>
      </c>
      <c r="Q31" s="28">
        <f>2.061426*1000000</f>
        <v>2061426</v>
      </c>
      <c r="R31" s="28">
        <f>2.061426*1000000</f>
        <v>2061426</v>
      </c>
      <c r="S31" s="28">
        <f>13.602636*1000000</f>
        <v>13602636</v>
      </c>
      <c r="T31" s="28">
        <v>0</v>
      </c>
      <c r="U31" s="28">
        <f>13.602636*1000000</f>
        <v>13602636</v>
      </c>
      <c r="V31" s="28">
        <f>15.664062*1000000</f>
        <v>15664062</v>
      </c>
      <c r="W31" s="28">
        <v>0</v>
      </c>
      <c r="X31" s="28">
        <v>2061400</v>
      </c>
      <c r="Y31" s="28">
        <v>2061400</v>
      </c>
      <c r="Z31" s="28">
        <v>11134668</v>
      </c>
      <c r="AA31" s="28">
        <v>0</v>
      </c>
      <c r="AB31" s="28">
        <v>11134668</v>
      </c>
      <c r="AC31" s="28">
        <v>13196068</v>
      </c>
      <c r="AD31" s="28">
        <v>0</v>
      </c>
      <c r="AE31" s="28">
        <f>1.46363*1000000</f>
        <v>1463630</v>
      </c>
      <c r="AF31" s="28">
        <f>1.46363*1000000</f>
        <v>1463630</v>
      </c>
      <c r="AG31" s="28">
        <f>7.318154*1000000</f>
        <v>7318154</v>
      </c>
      <c r="AH31" s="28">
        <v>0</v>
      </c>
      <c r="AI31" s="28">
        <f>7.318154*1000000</f>
        <v>7318154</v>
      </c>
      <c r="AJ31" s="28">
        <f>8.781784*1000000</f>
        <v>8781784</v>
      </c>
      <c r="AK31" s="28">
        <v>0</v>
      </c>
      <c r="AL31" s="28">
        <f>1.911639*1000000</f>
        <v>1911639</v>
      </c>
      <c r="AM31" s="28">
        <v>1911639</v>
      </c>
      <c r="AN31" s="28">
        <v>10397129</v>
      </c>
      <c r="AO31" s="28">
        <v>0</v>
      </c>
      <c r="AP31" s="28">
        <v>10397129</v>
      </c>
      <c r="AQ31" s="28">
        <v>12308768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160000000</v>
      </c>
      <c r="BR31" s="28">
        <v>160000000</v>
      </c>
      <c r="BS31" s="28">
        <v>160000000</v>
      </c>
      <c r="BT31" s="28">
        <v>0</v>
      </c>
      <c r="BU31" s="28">
        <v>0</v>
      </c>
      <c r="BV31" s="28">
        <v>0</v>
      </c>
      <c r="BW31" s="28">
        <v>0</v>
      </c>
      <c r="BX31" s="28">
        <v>31828348.800000001</v>
      </c>
      <c r="BY31" s="28">
        <v>368109000</v>
      </c>
      <c r="BZ31" s="28">
        <v>399937348.80000001</v>
      </c>
      <c r="CA31" s="28">
        <v>399937348.80000001</v>
      </c>
      <c r="CB31" s="28">
        <v>0</v>
      </c>
      <c r="CC31" s="28">
        <v>148200000</v>
      </c>
      <c r="CD31" s="28">
        <v>0</v>
      </c>
      <c r="CE31" s="28">
        <v>148200000</v>
      </c>
      <c r="CF31" s="28">
        <v>26057275</v>
      </c>
      <c r="CG31" s="28">
        <v>285020687</v>
      </c>
      <c r="CH31" s="28">
        <v>311077962</v>
      </c>
      <c r="CI31" s="29">
        <v>459277962</v>
      </c>
    </row>
    <row r="32" spans="1:87" x14ac:dyDescent="0.25">
      <c r="A32" s="14" t="s">
        <v>22</v>
      </c>
      <c r="B32" s="28">
        <v>0</v>
      </c>
      <c r="C32" s="28">
        <v>35000010</v>
      </c>
      <c r="D32" s="28">
        <v>35000010</v>
      </c>
      <c r="E32" s="28">
        <v>0</v>
      </c>
      <c r="F32" s="28">
        <v>126358380</v>
      </c>
      <c r="G32" s="28">
        <v>126358380</v>
      </c>
      <c r="H32" s="28">
        <v>161358390</v>
      </c>
      <c r="I32" s="28">
        <v>0</v>
      </c>
      <c r="J32" s="28">
        <v>36500000</v>
      </c>
      <c r="K32" s="28">
        <v>36500000</v>
      </c>
      <c r="L32" s="28">
        <v>0</v>
      </c>
      <c r="M32" s="28">
        <v>126002070.64</v>
      </c>
      <c r="N32" s="28">
        <v>126002070.64</v>
      </c>
      <c r="O32" s="28">
        <v>162502070.63999999</v>
      </c>
      <c r="P32" s="28">
        <v>0</v>
      </c>
      <c r="Q32" s="28">
        <f>27.0131*1000000</f>
        <v>27013100</v>
      </c>
      <c r="R32" s="28">
        <f>27.0131*1000000</f>
        <v>27013100</v>
      </c>
      <c r="S32" s="28">
        <v>0</v>
      </c>
      <c r="T32" s="28">
        <f>252.184091*1000000</f>
        <v>252184091</v>
      </c>
      <c r="U32" s="28">
        <f>252.184091*1000000</f>
        <v>252184091</v>
      </c>
      <c r="V32" s="28">
        <f>279.197191*1000000</f>
        <v>279197191</v>
      </c>
      <c r="W32" s="28">
        <v>35965000</v>
      </c>
      <c r="X32" s="28">
        <v>33130018</v>
      </c>
      <c r="Y32" s="28">
        <v>69095018</v>
      </c>
      <c r="Z32" s="28">
        <v>0</v>
      </c>
      <c r="AA32" s="28">
        <v>187123807</v>
      </c>
      <c r="AB32" s="28">
        <v>187123807</v>
      </c>
      <c r="AC32" s="28">
        <v>256218825</v>
      </c>
      <c r="AD32" s="28">
        <v>0</v>
      </c>
      <c r="AE32" s="28">
        <f>38.928981*1000000</f>
        <v>38928981</v>
      </c>
      <c r="AF32" s="28">
        <f>38.928981*1000000</f>
        <v>38928981</v>
      </c>
      <c r="AG32" s="28">
        <f>2.2*1000000</f>
        <v>2200000</v>
      </c>
      <c r="AH32" s="28">
        <f>185.540207*1000000</f>
        <v>185540207</v>
      </c>
      <c r="AI32" s="28">
        <f>187.740207*1000000</f>
        <v>187740207</v>
      </c>
      <c r="AJ32" s="28">
        <f>226.669188*1000000</f>
        <v>226669188</v>
      </c>
      <c r="AK32" s="28">
        <v>0.5</v>
      </c>
      <c r="AL32" s="28">
        <f>40.4*1000000</f>
        <v>40400000</v>
      </c>
      <c r="AM32" s="28">
        <v>40900000</v>
      </c>
      <c r="AN32" s="28">
        <v>9200000</v>
      </c>
      <c r="AO32" s="28">
        <v>64539201.000000007</v>
      </c>
      <c r="AP32" s="28">
        <v>73739201</v>
      </c>
      <c r="AQ32" s="28">
        <v>114639201</v>
      </c>
      <c r="AR32" s="28">
        <v>46990242</v>
      </c>
      <c r="AS32" s="28">
        <v>40779000</v>
      </c>
      <c r="AT32" s="28">
        <v>87769242</v>
      </c>
      <c r="AU32" s="28">
        <v>14746020</v>
      </c>
      <c r="AV32" s="28">
        <v>105135179</v>
      </c>
      <c r="AW32" s="28">
        <v>119881199</v>
      </c>
      <c r="AX32" s="28">
        <v>207650441</v>
      </c>
      <c r="AY32" s="28">
        <f>62.343203*1000000</f>
        <v>62343203</v>
      </c>
      <c r="AZ32" s="28">
        <v>52078741</v>
      </c>
      <c r="BA32" s="28">
        <v>114421944</v>
      </c>
      <c r="BB32" s="28">
        <v>30861000</v>
      </c>
      <c r="BC32" s="28">
        <v>187736245</v>
      </c>
      <c r="BD32" s="28">
        <v>218597245</v>
      </c>
      <c r="BE32" s="28">
        <v>333019189</v>
      </c>
      <c r="BF32" s="28">
        <v>25406704</v>
      </c>
      <c r="BG32" s="28">
        <v>53426000</v>
      </c>
      <c r="BH32" s="28">
        <v>78832704</v>
      </c>
      <c r="BI32" s="28">
        <v>0</v>
      </c>
      <c r="BJ32" s="28">
        <v>362943276</v>
      </c>
      <c r="BK32" s="28">
        <v>362943276</v>
      </c>
      <c r="BL32" s="28">
        <v>441775980</v>
      </c>
      <c r="BM32" s="28">
        <v>76594166</v>
      </c>
      <c r="BN32" s="28">
        <v>65921000.000000007</v>
      </c>
      <c r="BO32" s="28">
        <v>142515166</v>
      </c>
      <c r="BP32" s="28">
        <v>142737256</v>
      </c>
      <c r="BQ32" s="28">
        <v>427620744</v>
      </c>
      <c r="BR32" s="28">
        <v>570358000</v>
      </c>
      <c r="BS32" s="28">
        <v>712873166</v>
      </c>
      <c r="BT32" s="28">
        <v>44047906</v>
      </c>
      <c r="BU32" s="28">
        <v>82455000</v>
      </c>
      <c r="BV32" s="28">
        <v>0</v>
      </c>
      <c r="BW32" s="28">
        <v>126502906</v>
      </c>
      <c r="BX32" s="28">
        <v>34162836.839999996</v>
      </c>
      <c r="BY32" s="28">
        <v>594287070.79000008</v>
      </c>
      <c r="BZ32" s="28">
        <v>628449907.63</v>
      </c>
      <c r="CA32" s="28">
        <v>754952813.63</v>
      </c>
      <c r="CB32" s="28">
        <v>53200000</v>
      </c>
      <c r="CC32" s="28">
        <v>100288495</v>
      </c>
      <c r="CD32" s="28">
        <v>0</v>
      </c>
      <c r="CE32" s="28">
        <v>153488495</v>
      </c>
      <c r="CF32" s="28">
        <v>33800000</v>
      </c>
      <c r="CG32" s="28">
        <v>1551046528</v>
      </c>
      <c r="CH32" s="28">
        <v>1584846528</v>
      </c>
      <c r="CI32" s="29">
        <v>1738335023</v>
      </c>
    </row>
    <row r="33" spans="1:100" x14ac:dyDescent="0.25">
      <c r="A33" s="14" t="s">
        <v>23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1000000</v>
      </c>
      <c r="K33" s="28">
        <v>1000000</v>
      </c>
      <c r="L33" s="28">
        <v>8049228</v>
      </c>
      <c r="M33" s="28">
        <v>16656880</v>
      </c>
      <c r="N33" s="28">
        <v>24706108</v>
      </c>
      <c r="O33" s="28">
        <v>25706108</v>
      </c>
      <c r="P33" s="28">
        <v>0</v>
      </c>
      <c r="Q33" s="28">
        <f>1*1000000</f>
        <v>1000000</v>
      </c>
      <c r="R33" s="28">
        <f>1*1000000</f>
        <v>1000000</v>
      </c>
      <c r="S33" s="28">
        <f>21.681843*1000000</f>
        <v>21681843</v>
      </c>
      <c r="T33" s="28">
        <f>16*1000000</f>
        <v>16000000</v>
      </c>
      <c r="U33" s="28">
        <f>37.681843*1000000</f>
        <v>37681843</v>
      </c>
      <c r="V33" s="28">
        <f>38.681843*1000000</f>
        <v>38681843</v>
      </c>
      <c r="W33" s="28">
        <v>0</v>
      </c>
      <c r="X33" s="28">
        <v>0</v>
      </c>
      <c r="Y33" s="28">
        <v>0</v>
      </c>
      <c r="Z33" s="28">
        <v>1733975</v>
      </c>
      <c r="AA33" s="28">
        <v>5226713</v>
      </c>
      <c r="AB33" s="28">
        <v>6960688</v>
      </c>
      <c r="AC33" s="28">
        <v>6960688</v>
      </c>
      <c r="AD33" s="28">
        <v>0</v>
      </c>
      <c r="AE33" s="28">
        <v>0</v>
      </c>
      <c r="AF33" s="28">
        <v>0</v>
      </c>
      <c r="AG33" s="28">
        <f>6.909494*1000000</f>
        <v>6909494</v>
      </c>
      <c r="AH33" s="28">
        <f>42.8708*1000000</f>
        <v>42870800</v>
      </c>
      <c r="AI33" s="28">
        <f>49.780294*1000000</f>
        <v>49780294</v>
      </c>
      <c r="AJ33" s="28">
        <f>49.780294*1000000</f>
        <v>49780294</v>
      </c>
      <c r="AK33" s="28">
        <v>0</v>
      </c>
      <c r="AL33" s="28">
        <f>2*1000000</f>
        <v>2000000</v>
      </c>
      <c r="AM33" s="28">
        <v>2000000</v>
      </c>
      <c r="AN33" s="28">
        <v>2221352</v>
      </c>
      <c r="AO33" s="28">
        <v>50757870</v>
      </c>
      <c r="AP33" s="28">
        <v>52979222</v>
      </c>
      <c r="AQ33" s="28">
        <v>54979222</v>
      </c>
      <c r="AR33" s="28">
        <v>0</v>
      </c>
      <c r="AS33" s="28">
        <v>0</v>
      </c>
      <c r="AT33" s="28">
        <v>0</v>
      </c>
      <c r="AU33" s="28">
        <v>0</v>
      </c>
      <c r="AV33" s="28">
        <v>21008000</v>
      </c>
      <c r="AW33" s="28">
        <v>21008000</v>
      </c>
      <c r="AX33" s="28">
        <v>21008000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S33" s="28">
        <v>0</v>
      </c>
      <c r="BT33" s="28">
        <v>0</v>
      </c>
      <c r="BU33" s="28">
        <v>0</v>
      </c>
      <c r="BV33" s="28">
        <v>0</v>
      </c>
      <c r="BW33" s="28">
        <v>0</v>
      </c>
      <c r="BX33" s="28">
        <v>0</v>
      </c>
      <c r="BY33" s="28">
        <v>0</v>
      </c>
      <c r="BZ33" s="28">
        <v>0</v>
      </c>
      <c r="CA33" s="28">
        <v>0</v>
      </c>
      <c r="CB33" s="28">
        <v>0</v>
      </c>
      <c r="CC33" s="28">
        <v>0</v>
      </c>
      <c r="CD33" s="28">
        <v>0</v>
      </c>
      <c r="CE33" s="28">
        <v>0</v>
      </c>
      <c r="CF33" s="28">
        <v>0</v>
      </c>
      <c r="CG33" s="28">
        <v>0</v>
      </c>
      <c r="CH33" s="28">
        <v>0</v>
      </c>
      <c r="CI33" s="29">
        <v>0</v>
      </c>
    </row>
    <row r="34" spans="1:100" x14ac:dyDescent="0.25">
      <c r="A34" s="14" t="s">
        <v>24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4000000</v>
      </c>
      <c r="K34" s="28">
        <v>4000000</v>
      </c>
      <c r="L34" s="28">
        <v>0</v>
      </c>
      <c r="M34" s="28">
        <v>30945121.75</v>
      </c>
      <c r="N34" s="28">
        <v>30945121.75</v>
      </c>
      <c r="O34" s="28">
        <v>34945121.75</v>
      </c>
      <c r="P34" s="28">
        <v>0</v>
      </c>
      <c r="Q34" s="28">
        <f>5.261937*1000000</f>
        <v>5261937</v>
      </c>
      <c r="R34" s="28">
        <f>5.261937*1000000</f>
        <v>5261937</v>
      </c>
      <c r="S34" s="28">
        <v>0</v>
      </c>
      <c r="T34" s="28">
        <f>35.961441*1000000</f>
        <v>35961441</v>
      </c>
      <c r="U34" s="28">
        <f>35.961441*1000000</f>
        <v>35961441</v>
      </c>
      <c r="V34" s="28">
        <f>41.223378*1000000</f>
        <v>41223378</v>
      </c>
      <c r="W34" s="28">
        <v>0</v>
      </c>
      <c r="X34" s="28">
        <v>15930334</v>
      </c>
      <c r="Y34" s="28">
        <v>15930334</v>
      </c>
      <c r="Z34" s="28">
        <v>0</v>
      </c>
      <c r="AA34" s="28">
        <v>35259219</v>
      </c>
      <c r="AB34" s="28">
        <v>35259219</v>
      </c>
      <c r="AC34" s="28">
        <v>51189553</v>
      </c>
      <c r="AD34" s="28">
        <v>0</v>
      </c>
      <c r="AE34" s="28">
        <f>19.5*1000000</f>
        <v>19500000</v>
      </c>
      <c r="AF34" s="28">
        <f>19.5*1000000</f>
        <v>19500000</v>
      </c>
      <c r="AG34" s="28">
        <f>0.396593*1000000</f>
        <v>396593</v>
      </c>
      <c r="AH34" s="28">
        <f>155.275539*1000000</f>
        <v>155275539</v>
      </c>
      <c r="AI34" s="28">
        <f>155.672132*1000000</f>
        <v>155672132</v>
      </c>
      <c r="AJ34" s="28">
        <f>175.172132*1000000</f>
        <v>175172132</v>
      </c>
      <c r="AK34" s="28">
        <v>0</v>
      </c>
      <c r="AL34" s="28">
        <f>19.280704*1000000</f>
        <v>19280704</v>
      </c>
      <c r="AM34" s="28">
        <v>19280704</v>
      </c>
      <c r="AN34" s="28">
        <v>0</v>
      </c>
      <c r="AO34" s="28">
        <v>156092011</v>
      </c>
      <c r="AP34" s="28">
        <v>156092011</v>
      </c>
      <c r="AQ34" s="28">
        <v>175372715</v>
      </c>
      <c r="AR34" s="28">
        <v>0</v>
      </c>
      <c r="AS34" s="28">
        <v>0</v>
      </c>
      <c r="AT34" s="28">
        <v>0</v>
      </c>
      <c r="AU34" s="28">
        <v>0</v>
      </c>
      <c r="AV34" s="28">
        <v>2415460</v>
      </c>
      <c r="AW34" s="28">
        <v>2415460</v>
      </c>
      <c r="AX34" s="28">
        <v>2415460</v>
      </c>
      <c r="AY34" s="28">
        <v>0</v>
      </c>
      <c r="AZ34" s="28">
        <v>0</v>
      </c>
      <c r="BA34" s="28">
        <v>0</v>
      </c>
      <c r="BB34" s="28">
        <v>0</v>
      </c>
      <c r="BC34" s="28">
        <v>6028572</v>
      </c>
      <c r="BD34" s="28">
        <v>6028572</v>
      </c>
      <c r="BE34" s="28">
        <v>6028572</v>
      </c>
      <c r="BF34" s="28">
        <v>0</v>
      </c>
      <c r="BG34" s="28">
        <v>0</v>
      </c>
      <c r="BH34" s="28">
        <v>0</v>
      </c>
      <c r="BI34" s="28">
        <v>0</v>
      </c>
      <c r="BJ34" s="28">
        <v>5648517</v>
      </c>
      <c r="BK34" s="28">
        <v>5648517</v>
      </c>
      <c r="BL34" s="28">
        <v>5648517</v>
      </c>
      <c r="BM34" s="28">
        <v>0</v>
      </c>
      <c r="BN34" s="28">
        <v>0</v>
      </c>
      <c r="BO34" s="28">
        <v>0</v>
      </c>
      <c r="BP34" s="28">
        <v>0</v>
      </c>
      <c r="BQ34" s="28">
        <v>0</v>
      </c>
      <c r="BR34" s="28">
        <v>0</v>
      </c>
      <c r="BS34" s="28">
        <v>0</v>
      </c>
      <c r="BT34" s="28">
        <v>0</v>
      </c>
      <c r="BU34" s="28">
        <v>0</v>
      </c>
      <c r="BV34" s="28">
        <v>0</v>
      </c>
      <c r="BW34" s="28">
        <v>0</v>
      </c>
      <c r="BX34" s="28">
        <v>0</v>
      </c>
      <c r="BY34" s="28">
        <v>0</v>
      </c>
      <c r="BZ34" s="28">
        <v>0</v>
      </c>
      <c r="CA34" s="28">
        <v>0</v>
      </c>
      <c r="CB34" s="28">
        <v>0</v>
      </c>
      <c r="CC34" s="28">
        <v>0</v>
      </c>
      <c r="CD34" s="28">
        <v>0</v>
      </c>
      <c r="CE34" s="28">
        <v>0</v>
      </c>
      <c r="CF34" s="28">
        <v>0</v>
      </c>
      <c r="CG34" s="28">
        <v>0</v>
      </c>
      <c r="CH34" s="28">
        <v>0</v>
      </c>
      <c r="CI34" s="29">
        <v>0</v>
      </c>
    </row>
    <row r="35" spans="1:100" x14ac:dyDescent="0.25">
      <c r="A35" s="14" t="s">
        <v>68</v>
      </c>
      <c r="B35" s="28">
        <v>0</v>
      </c>
      <c r="C35" s="28">
        <v>356000</v>
      </c>
      <c r="D35" s="28">
        <v>356000</v>
      </c>
      <c r="E35" s="28">
        <v>5964000</v>
      </c>
      <c r="F35" s="28">
        <v>37300900</v>
      </c>
      <c r="G35" s="28">
        <v>43264900</v>
      </c>
      <c r="H35" s="28">
        <v>43620900</v>
      </c>
      <c r="I35" s="28">
        <v>0</v>
      </c>
      <c r="J35" s="28">
        <v>8398480.4800000004</v>
      </c>
      <c r="K35" s="28">
        <v>8398480.4800000004</v>
      </c>
      <c r="L35" s="28">
        <v>0</v>
      </c>
      <c r="M35" s="28">
        <v>46644320</v>
      </c>
      <c r="N35" s="28">
        <v>46644320</v>
      </c>
      <c r="O35" s="28">
        <v>55042800.479999997</v>
      </c>
      <c r="P35" s="28">
        <v>0</v>
      </c>
      <c r="Q35" s="28">
        <f>2.9458*1000000</f>
        <v>2945800</v>
      </c>
      <c r="R35" s="28">
        <f>2.9458*1000000</f>
        <v>2945800</v>
      </c>
      <c r="S35" s="28">
        <v>0</v>
      </c>
      <c r="T35" s="28">
        <f>13.988968*1000000</f>
        <v>13988968</v>
      </c>
      <c r="U35" s="28">
        <f>13.988968*1000000</f>
        <v>13988968</v>
      </c>
      <c r="V35" s="28">
        <f>16.934768*1000000</f>
        <v>16934768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Q35" s="28">
        <v>0</v>
      </c>
      <c r="BR35" s="28">
        <v>0</v>
      </c>
      <c r="BS35" s="28">
        <v>0</v>
      </c>
      <c r="BT35" s="28">
        <v>0</v>
      </c>
      <c r="BU35" s="28">
        <v>0</v>
      </c>
      <c r="BV35" s="28">
        <v>0</v>
      </c>
      <c r="BW35" s="28">
        <v>0</v>
      </c>
      <c r="BX35" s="28">
        <v>0</v>
      </c>
      <c r="BY35" s="28">
        <v>0</v>
      </c>
      <c r="BZ35" s="28">
        <v>0</v>
      </c>
      <c r="CA35" s="28">
        <v>0</v>
      </c>
      <c r="CB35" s="28">
        <v>0</v>
      </c>
      <c r="CC35" s="28">
        <v>0</v>
      </c>
      <c r="CD35" s="28">
        <v>0</v>
      </c>
      <c r="CE35" s="28">
        <v>0</v>
      </c>
      <c r="CF35" s="28">
        <v>0</v>
      </c>
      <c r="CG35" s="28">
        <v>0</v>
      </c>
      <c r="CH35" s="28">
        <v>0</v>
      </c>
      <c r="CI35" s="29">
        <v>0</v>
      </c>
    </row>
    <row r="36" spans="1:100" x14ac:dyDescent="0.25">
      <c r="A36" s="14" t="s">
        <v>69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f>1*1000000</f>
        <v>1000000</v>
      </c>
      <c r="U36" s="28">
        <f>1*1000000</f>
        <v>1000000</v>
      </c>
      <c r="V36" s="28">
        <f>1*1000000</f>
        <v>1000000</v>
      </c>
      <c r="W36" s="28">
        <v>0</v>
      </c>
      <c r="X36" s="28">
        <v>0</v>
      </c>
      <c r="Y36" s="28">
        <v>0</v>
      </c>
      <c r="Z36" s="28">
        <v>500000</v>
      </c>
      <c r="AA36" s="28">
        <v>4875000</v>
      </c>
      <c r="AB36" s="28">
        <v>5375000</v>
      </c>
      <c r="AC36" s="28">
        <v>5375000</v>
      </c>
      <c r="AD36" s="28">
        <v>0</v>
      </c>
      <c r="AE36" s="28">
        <f>0.029785*1000000</f>
        <v>29785</v>
      </c>
      <c r="AF36" s="28">
        <f>0.029785*1000000</f>
        <v>29785</v>
      </c>
      <c r="AG36" s="28">
        <f>146.467844*1000000</f>
        <v>146467844</v>
      </c>
      <c r="AH36" s="28">
        <v>0</v>
      </c>
      <c r="AI36" s="28">
        <f>146.467844*1000000</f>
        <v>146467844</v>
      </c>
      <c r="AJ36" s="28">
        <f>146.497629*1000000</f>
        <v>146497629</v>
      </c>
      <c r="AK36" s="28">
        <v>0</v>
      </c>
      <c r="AL36" s="28">
        <f>1.252679*1000000</f>
        <v>1252679</v>
      </c>
      <c r="AM36" s="28">
        <v>1252679</v>
      </c>
      <c r="AN36" s="28">
        <v>30768849</v>
      </c>
      <c r="AO36" s="28">
        <v>88810394</v>
      </c>
      <c r="AP36" s="28">
        <v>119579243</v>
      </c>
      <c r="AQ36" s="28">
        <v>120831922</v>
      </c>
      <c r="AR36" s="28">
        <v>0</v>
      </c>
      <c r="AS36" s="28">
        <v>1199280</v>
      </c>
      <c r="AT36" s="28">
        <v>1199280</v>
      </c>
      <c r="AU36" s="28">
        <v>7992800</v>
      </c>
      <c r="AV36" s="28">
        <v>210017188</v>
      </c>
      <c r="AW36" s="28">
        <v>218009988</v>
      </c>
      <c r="AX36" s="28">
        <v>219209268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S36" s="28">
        <v>0</v>
      </c>
      <c r="BT36" s="28">
        <v>0</v>
      </c>
      <c r="BU36" s="28">
        <v>0</v>
      </c>
      <c r="BV36" s="28">
        <v>0</v>
      </c>
      <c r="BW36" s="28">
        <v>0</v>
      </c>
      <c r="BX36" s="28">
        <v>0</v>
      </c>
      <c r="BY36" s="28">
        <v>0</v>
      </c>
      <c r="BZ36" s="28">
        <v>0</v>
      </c>
      <c r="CA36" s="28">
        <v>0</v>
      </c>
      <c r="CB36" s="28">
        <v>0</v>
      </c>
      <c r="CC36" s="28">
        <v>0</v>
      </c>
      <c r="CD36" s="28">
        <v>0</v>
      </c>
      <c r="CE36" s="28">
        <v>0</v>
      </c>
      <c r="CF36" s="28">
        <v>0</v>
      </c>
      <c r="CG36" s="28">
        <v>0</v>
      </c>
      <c r="CH36" s="28">
        <v>0</v>
      </c>
      <c r="CI36" s="29">
        <v>0</v>
      </c>
    </row>
    <row r="37" spans="1:100" x14ac:dyDescent="0.25">
      <c r="A37" s="14" t="s">
        <v>70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f>0.25*1000000</f>
        <v>250000</v>
      </c>
      <c r="R37" s="28">
        <f>0.25*1000000</f>
        <v>250000</v>
      </c>
      <c r="S37" s="28">
        <v>0</v>
      </c>
      <c r="T37" s="28">
        <f>46.5075*1000000</f>
        <v>46507500</v>
      </c>
      <c r="U37" s="28">
        <f>46.5075*1000000</f>
        <v>46507500</v>
      </c>
      <c r="V37" s="28">
        <f>46.7575*1000000</f>
        <v>46757500</v>
      </c>
      <c r="W37" s="28">
        <v>0</v>
      </c>
      <c r="X37" s="28">
        <v>500000</v>
      </c>
      <c r="Y37" s="28">
        <v>500000</v>
      </c>
      <c r="Z37" s="28">
        <v>0</v>
      </c>
      <c r="AA37" s="28">
        <v>0</v>
      </c>
      <c r="AB37" s="28">
        <v>0</v>
      </c>
      <c r="AC37" s="28">
        <v>500000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S37" s="28">
        <v>0</v>
      </c>
      <c r="BT37" s="28">
        <v>0</v>
      </c>
      <c r="BU37" s="28">
        <v>0</v>
      </c>
      <c r="BV37" s="28">
        <v>0</v>
      </c>
      <c r="BW37" s="28">
        <v>0</v>
      </c>
      <c r="BX37" s="28">
        <v>0</v>
      </c>
      <c r="BY37" s="28">
        <v>0</v>
      </c>
      <c r="BZ37" s="28">
        <v>0</v>
      </c>
      <c r="CA37" s="28">
        <v>0</v>
      </c>
      <c r="CB37" s="28">
        <v>0</v>
      </c>
      <c r="CC37" s="28">
        <v>0</v>
      </c>
      <c r="CD37" s="28">
        <v>0</v>
      </c>
      <c r="CE37" s="28">
        <v>0</v>
      </c>
      <c r="CF37" s="28">
        <v>0</v>
      </c>
      <c r="CG37" s="28">
        <v>0</v>
      </c>
      <c r="CH37" s="28">
        <v>0</v>
      </c>
      <c r="CI37" s="29">
        <v>0</v>
      </c>
    </row>
    <row r="38" spans="1:100" x14ac:dyDescent="0.25">
      <c r="A38" s="14" t="s">
        <v>71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f>5.823022*1000000</f>
        <v>5823022</v>
      </c>
      <c r="R38" s="28">
        <f>5.823022*1000000</f>
        <v>5823022</v>
      </c>
      <c r="S38" s="28">
        <v>0</v>
      </c>
      <c r="T38" s="28">
        <v>0</v>
      </c>
      <c r="U38" s="28">
        <v>0</v>
      </c>
      <c r="V38" s="28">
        <f>5.823022*1000000</f>
        <v>5823022</v>
      </c>
      <c r="W38" s="28">
        <v>0</v>
      </c>
      <c r="X38" s="28">
        <v>8000000</v>
      </c>
      <c r="Y38" s="28">
        <v>8000000</v>
      </c>
      <c r="Z38" s="28">
        <v>0</v>
      </c>
      <c r="AA38" s="28">
        <v>0</v>
      </c>
      <c r="AB38" s="28">
        <v>0</v>
      </c>
      <c r="AC38" s="28">
        <v>8000000</v>
      </c>
      <c r="AD38" s="28">
        <v>0</v>
      </c>
      <c r="AE38" s="28">
        <f>9*1000000</f>
        <v>9000000</v>
      </c>
      <c r="AF38" s="28">
        <f>9*1000000</f>
        <v>9000000</v>
      </c>
      <c r="AG38" s="28">
        <f>8*1000000</f>
        <v>8000000</v>
      </c>
      <c r="AH38" s="28">
        <v>0</v>
      </c>
      <c r="AI38" s="28">
        <f>8*1000000</f>
        <v>8000000</v>
      </c>
      <c r="AJ38" s="28">
        <f>17*1000000</f>
        <v>17000000</v>
      </c>
      <c r="AK38" s="28">
        <v>0</v>
      </c>
      <c r="AL38" s="28">
        <f>8.998825*1000000</f>
        <v>8998825</v>
      </c>
      <c r="AM38" s="28">
        <v>8998825</v>
      </c>
      <c r="AN38" s="28">
        <v>0</v>
      </c>
      <c r="AO38" s="28">
        <v>0</v>
      </c>
      <c r="AP38" s="28">
        <v>0</v>
      </c>
      <c r="AQ38" s="28">
        <v>8998825</v>
      </c>
      <c r="AR38" s="28">
        <v>0</v>
      </c>
      <c r="AS38" s="28">
        <v>9145000</v>
      </c>
      <c r="AT38" s="28">
        <v>9145000</v>
      </c>
      <c r="AU38" s="28">
        <v>0</v>
      </c>
      <c r="AV38" s="28">
        <v>0</v>
      </c>
      <c r="AW38" s="28">
        <v>0</v>
      </c>
      <c r="AX38" s="28">
        <v>9145000</v>
      </c>
      <c r="AY38" s="28">
        <v>0</v>
      </c>
      <c r="AZ38" s="28">
        <v>9099989</v>
      </c>
      <c r="BA38" s="28">
        <v>9099989</v>
      </c>
      <c r="BB38" s="28">
        <v>0</v>
      </c>
      <c r="BC38" s="28">
        <v>0</v>
      </c>
      <c r="BD38" s="28">
        <v>0</v>
      </c>
      <c r="BE38" s="28">
        <v>9099989</v>
      </c>
      <c r="BF38" s="28">
        <v>0</v>
      </c>
      <c r="BG38" s="28">
        <v>3399999</v>
      </c>
      <c r="BH38" s="28">
        <v>3399999</v>
      </c>
      <c r="BI38" s="28">
        <v>0</v>
      </c>
      <c r="BJ38" s="28">
        <v>0</v>
      </c>
      <c r="BK38" s="28">
        <v>0</v>
      </c>
      <c r="BL38" s="28">
        <v>3399999</v>
      </c>
      <c r="BM38" s="28">
        <v>0</v>
      </c>
      <c r="BN38" s="28">
        <v>3235000</v>
      </c>
      <c r="BO38" s="28">
        <v>3235000</v>
      </c>
      <c r="BP38" s="28">
        <v>0</v>
      </c>
      <c r="BQ38" s="28">
        <v>0</v>
      </c>
      <c r="BR38" s="28">
        <v>0</v>
      </c>
      <c r="BS38" s="28">
        <v>3235000</v>
      </c>
      <c r="BT38" s="28">
        <v>0</v>
      </c>
      <c r="BU38" s="28">
        <v>3400000</v>
      </c>
      <c r="BV38" s="28">
        <v>0</v>
      </c>
      <c r="BW38" s="28">
        <v>3400000</v>
      </c>
      <c r="BX38" s="28">
        <v>0</v>
      </c>
      <c r="BY38" s="28">
        <v>0</v>
      </c>
      <c r="BZ38" s="28">
        <v>0</v>
      </c>
      <c r="CA38" s="28">
        <v>3400000</v>
      </c>
      <c r="CB38" s="28">
        <v>0</v>
      </c>
      <c r="CC38" s="28">
        <v>4099999.9999999995</v>
      </c>
      <c r="CD38" s="28">
        <v>0</v>
      </c>
      <c r="CE38" s="28">
        <v>4099999.9999999995</v>
      </c>
      <c r="CF38" s="28">
        <v>0</v>
      </c>
      <c r="CG38" s="28">
        <v>0</v>
      </c>
      <c r="CH38" s="28">
        <v>0</v>
      </c>
      <c r="CI38" s="29">
        <v>4099999.9999999995</v>
      </c>
    </row>
    <row r="39" spans="1:100" x14ac:dyDescent="0.25">
      <c r="A39" s="14" t="s">
        <v>25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f>2.581116*1000000</f>
        <v>2581116</v>
      </c>
      <c r="R39" s="28">
        <f>2.581116*1000000</f>
        <v>2581116</v>
      </c>
      <c r="S39" s="28">
        <f>1.512329*1000000</f>
        <v>1512329</v>
      </c>
      <c r="T39" s="28">
        <v>0</v>
      </c>
      <c r="U39" s="28">
        <f>1.512329*1000000</f>
        <v>1512329</v>
      </c>
      <c r="V39" s="28">
        <f>4.093445*1000000</f>
        <v>4093445</v>
      </c>
      <c r="W39" s="28">
        <v>0</v>
      </c>
      <c r="X39" s="28">
        <v>2331116</v>
      </c>
      <c r="Y39" s="28">
        <v>2331116</v>
      </c>
      <c r="Z39" s="28">
        <v>999000</v>
      </c>
      <c r="AA39" s="28">
        <v>0</v>
      </c>
      <c r="AB39" s="28">
        <v>999000</v>
      </c>
      <c r="AC39" s="28">
        <v>3330116</v>
      </c>
      <c r="AD39" s="28">
        <v>0</v>
      </c>
      <c r="AE39" s="28">
        <f>4.203217*1000000</f>
        <v>4203217</v>
      </c>
      <c r="AF39" s="28">
        <f>4.203217*1000000</f>
        <v>4203217</v>
      </c>
      <c r="AG39" s="28">
        <f>1.162993*1000000</f>
        <v>1162993</v>
      </c>
      <c r="AH39" s="28">
        <v>0</v>
      </c>
      <c r="AI39" s="28">
        <f>1.162993*1000000</f>
        <v>1162993</v>
      </c>
      <c r="AJ39" s="28">
        <f>5.36621*1000000</f>
        <v>5366210</v>
      </c>
      <c r="AK39" s="28">
        <v>0</v>
      </c>
      <c r="AL39" s="28">
        <f>4.75*1000000</f>
        <v>4750000</v>
      </c>
      <c r="AM39" s="28">
        <v>4750000</v>
      </c>
      <c r="AN39" s="28">
        <v>0</v>
      </c>
      <c r="AO39" s="28">
        <v>0</v>
      </c>
      <c r="AP39" s="28">
        <v>0</v>
      </c>
      <c r="AQ39" s="28">
        <v>4750000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3858999</v>
      </c>
      <c r="BO39" s="28">
        <v>3858999</v>
      </c>
      <c r="BP39" s="28">
        <v>0</v>
      </c>
      <c r="BQ39" s="28">
        <v>0</v>
      </c>
      <c r="BR39" s="28">
        <v>0</v>
      </c>
      <c r="BS39" s="28">
        <v>3858999</v>
      </c>
      <c r="BT39" s="28">
        <v>0</v>
      </c>
      <c r="BU39" s="28">
        <v>1157452</v>
      </c>
      <c r="BV39" s="28">
        <v>0</v>
      </c>
      <c r="BW39" s="28">
        <v>1157452</v>
      </c>
      <c r="BX39" s="28">
        <v>0</v>
      </c>
      <c r="BY39" s="28">
        <v>0</v>
      </c>
      <c r="BZ39" s="28">
        <v>0</v>
      </c>
      <c r="CA39" s="28">
        <v>1157452</v>
      </c>
      <c r="CB39" s="28">
        <v>0</v>
      </c>
      <c r="CC39" s="28">
        <v>1158000</v>
      </c>
      <c r="CD39" s="28">
        <v>0</v>
      </c>
      <c r="CE39" s="28">
        <v>1158000</v>
      </c>
      <c r="CF39" s="28">
        <v>0</v>
      </c>
      <c r="CG39" s="28">
        <v>0</v>
      </c>
      <c r="CH39" s="28">
        <v>0</v>
      </c>
      <c r="CI39" s="29">
        <v>1158000</v>
      </c>
    </row>
    <row r="40" spans="1:100" x14ac:dyDescent="0.25">
      <c r="A40" s="14" t="s">
        <v>72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f>0.05406*1000000</f>
        <v>54060</v>
      </c>
      <c r="T40" s="28">
        <v>0</v>
      </c>
      <c r="U40" s="28">
        <f>0.05406*1000000</f>
        <v>54060</v>
      </c>
      <c r="V40" s="28">
        <f>0.05406*1000000</f>
        <v>54060</v>
      </c>
      <c r="W40" s="28">
        <v>0</v>
      </c>
      <c r="X40" s="28">
        <v>0</v>
      </c>
      <c r="Y40" s="28">
        <v>0</v>
      </c>
      <c r="Z40" s="28">
        <v>832500</v>
      </c>
      <c r="AA40" s="28">
        <v>0</v>
      </c>
      <c r="AB40" s="28">
        <v>832500</v>
      </c>
      <c r="AC40" s="28">
        <v>832500</v>
      </c>
      <c r="AD40" s="28">
        <v>0</v>
      </c>
      <c r="AE40" s="28">
        <v>0</v>
      </c>
      <c r="AF40" s="28">
        <v>0</v>
      </c>
      <c r="AG40" s="28">
        <f>1.992892*1000000</f>
        <v>1992892</v>
      </c>
      <c r="AH40" s="28">
        <v>0</v>
      </c>
      <c r="AI40" s="28">
        <f>1.992892*1000000</f>
        <v>1992892</v>
      </c>
      <c r="AJ40" s="28">
        <f>1.992892*1000000</f>
        <v>1992892</v>
      </c>
      <c r="AK40" s="28">
        <v>0</v>
      </c>
      <c r="AL40" s="28">
        <v>0</v>
      </c>
      <c r="AM40" s="28">
        <v>0</v>
      </c>
      <c r="AN40" s="28">
        <v>3232332</v>
      </c>
      <c r="AO40" s="28">
        <v>0</v>
      </c>
      <c r="AP40" s="28">
        <v>3232332</v>
      </c>
      <c r="AQ40" s="28">
        <v>3232332</v>
      </c>
      <c r="AR40" s="28">
        <v>0</v>
      </c>
      <c r="AS40" s="28">
        <v>0</v>
      </c>
      <c r="AT40" s="28"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8">
        <v>0</v>
      </c>
      <c r="BH40" s="28">
        <v>0</v>
      </c>
      <c r="BI40" s="28">
        <v>0</v>
      </c>
      <c r="BJ40" s="28">
        <v>0</v>
      </c>
      <c r="BK40" s="28">
        <v>0</v>
      </c>
      <c r="BL40" s="28">
        <v>0</v>
      </c>
      <c r="BM40" s="28">
        <v>0</v>
      </c>
      <c r="BN40" s="28">
        <v>0</v>
      </c>
      <c r="BO40" s="28">
        <v>0</v>
      </c>
      <c r="BP40" s="28">
        <v>0</v>
      </c>
      <c r="BQ40" s="28">
        <v>0</v>
      </c>
      <c r="BR40" s="28">
        <v>0</v>
      </c>
      <c r="BS40" s="28">
        <v>0</v>
      </c>
      <c r="BT40" s="28">
        <v>0</v>
      </c>
      <c r="BU40" s="28">
        <v>0</v>
      </c>
      <c r="BV40" s="28">
        <v>0</v>
      </c>
      <c r="BW40" s="28">
        <v>0</v>
      </c>
      <c r="BX40" s="28">
        <v>0</v>
      </c>
      <c r="BY40" s="28">
        <v>0</v>
      </c>
      <c r="BZ40" s="28">
        <v>0</v>
      </c>
      <c r="CA40" s="28">
        <v>0</v>
      </c>
      <c r="CB40" s="28">
        <v>0</v>
      </c>
      <c r="CC40" s="28">
        <v>0</v>
      </c>
      <c r="CD40" s="28">
        <v>0</v>
      </c>
      <c r="CE40" s="28">
        <v>0</v>
      </c>
      <c r="CF40" s="28">
        <v>0</v>
      </c>
      <c r="CG40" s="28">
        <v>0</v>
      </c>
      <c r="CH40" s="28">
        <v>0</v>
      </c>
      <c r="CI40" s="29">
        <v>0</v>
      </c>
      <c r="CJ40" s="3"/>
      <c r="CK40" s="3"/>
      <c r="CL40" s="3"/>
      <c r="CM40" s="3" t="s">
        <v>45</v>
      </c>
      <c r="CN40" s="3" t="s">
        <v>45</v>
      </c>
      <c r="CO40" s="3" t="s">
        <v>45</v>
      </c>
      <c r="CP40" s="3" t="s">
        <v>45</v>
      </c>
      <c r="CQ40" s="3" t="s">
        <v>45</v>
      </c>
      <c r="CR40" s="3" t="s">
        <v>45</v>
      </c>
      <c r="CS40" s="3" t="s">
        <v>45</v>
      </c>
      <c r="CT40" s="3" t="s">
        <v>45</v>
      </c>
      <c r="CU40" s="3" t="s">
        <v>45</v>
      </c>
      <c r="CV40" s="3" t="s">
        <v>45</v>
      </c>
    </row>
    <row r="41" spans="1:100" x14ac:dyDescent="0.25">
      <c r="A41" s="14" t="s">
        <v>37</v>
      </c>
      <c r="B41" s="28">
        <v>0</v>
      </c>
      <c r="C41" s="28">
        <v>6343982</v>
      </c>
      <c r="D41" s="28">
        <v>6343982</v>
      </c>
      <c r="E41" s="28">
        <v>0</v>
      </c>
      <c r="F41" s="28">
        <v>0</v>
      </c>
      <c r="G41" s="28">
        <v>0</v>
      </c>
      <c r="H41" s="28">
        <v>6343982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7000000</v>
      </c>
      <c r="Y41" s="28">
        <v>7000000</v>
      </c>
      <c r="Z41" s="28">
        <v>0</v>
      </c>
      <c r="AA41" s="28">
        <v>0</v>
      </c>
      <c r="AB41" s="28">
        <v>0</v>
      </c>
      <c r="AC41" s="28">
        <v>7000000</v>
      </c>
      <c r="AD41" s="28">
        <v>0</v>
      </c>
      <c r="AE41" s="28">
        <v>0</v>
      </c>
      <c r="AF41" s="28">
        <v>0</v>
      </c>
      <c r="AG41" s="28">
        <v>0</v>
      </c>
      <c r="AH41" s="28">
        <v>0</v>
      </c>
      <c r="AI41" s="28">
        <v>0</v>
      </c>
      <c r="AJ41" s="28">
        <v>0</v>
      </c>
      <c r="AK41" s="28">
        <v>0</v>
      </c>
      <c r="AL41" s="28">
        <v>0</v>
      </c>
      <c r="AM41" s="28">
        <v>0</v>
      </c>
      <c r="AN41" s="28">
        <v>0</v>
      </c>
      <c r="AO41" s="28">
        <v>0</v>
      </c>
      <c r="AP41" s="28">
        <v>0</v>
      </c>
      <c r="AQ41" s="28">
        <v>0</v>
      </c>
      <c r="AR41" s="28">
        <v>0</v>
      </c>
      <c r="AS41" s="28">
        <v>0</v>
      </c>
      <c r="AT41" s="28">
        <v>0</v>
      </c>
      <c r="AU41" s="28">
        <v>0</v>
      </c>
      <c r="AV41" s="28">
        <v>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0</v>
      </c>
      <c r="BF41" s="28">
        <v>0</v>
      </c>
      <c r="BG41" s="28">
        <v>0</v>
      </c>
      <c r="BH41" s="28">
        <v>0</v>
      </c>
      <c r="BI41" s="28">
        <v>0</v>
      </c>
      <c r="BJ41" s="28">
        <v>0</v>
      </c>
      <c r="BK41" s="28">
        <v>0</v>
      </c>
      <c r="BL41" s="28">
        <v>0</v>
      </c>
      <c r="BM41" s="28">
        <v>0</v>
      </c>
      <c r="BN41" s="28">
        <v>0</v>
      </c>
      <c r="BO41" s="28">
        <v>0</v>
      </c>
      <c r="BP41" s="28">
        <v>0</v>
      </c>
      <c r="BQ41" s="28">
        <v>0</v>
      </c>
      <c r="BR41" s="28">
        <v>0</v>
      </c>
      <c r="BS41" s="28">
        <v>0</v>
      </c>
      <c r="BT41" s="28">
        <v>0</v>
      </c>
      <c r="BU41" s="28">
        <v>0</v>
      </c>
      <c r="BV41" s="28">
        <v>0</v>
      </c>
      <c r="BW41" s="28">
        <v>0</v>
      </c>
      <c r="BX41" s="28">
        <v>0</v>
      </c>
      <c r="BY41" s="28">
        <v>0</v>
      </c>
      <c r="BZ41" s="28">
        <v>0</v>
      </c>
      <c r="CA41" s="28">
        <v>0</v>
      </c>
      <c r="CB41" s="28">
        <v>0</v>
      </c>
      <c r="CC41" s="28">
        <v>0</v>
      </c>
      <c r="CD41" s="28">
        <v>0</v>
      </c>
      <c r="CE41" s="28">
        <v>0</v>
      </c>
      <c r="CF41" s="28">
        <v>0</v>
      </c>
      <c r="CG41" s="28">
        <v>0</v>
      </c>
      <c r="CH41" s="28">
        <v>0</v>
      </c>
      <c r="CI41" s="29">
        <v>0</v>
      </c>
    </row>
    <row r="42" spans="1:100" x14ac:dyDescent="0.25">
      <c r="A42" s="14" t="s">
        <v>36</v>
      </c>
      <c r="B42" s="28">
        <v>0</v>
      </c>
      <c r="C42" s="28">
        <v>19123658.300000001</v>
      </c>
      <c r="D42" s="28">
        <v>19123658.300000001</v>
      </c>
      <c r="E42" s="28">
        <v>9010727</v>
      </c>
      <c r="F42" s="28">
        <v>12515170.82</v>
      </c>
      <c r="G42" s="28">
        <v>21525897.82</v>
      </c>
      <c r="H42" s="28">
        <v>40649556.119999997</v>
      </c>
      <c r="I42" s="28">
        <v>0</v>
      </c>
      <c r="J42" s="28">
        <v>12842720</v>
      </c>
      <c r="K42" s="28">
        <v>12842720</v>
      </c>
      <c r="L42" s="28">
        <v>2543200</v>
      </c>
      <c r="M42" s="28">
        <v>11685400</v>
      </c>
      <c r="N42" s="28">
        <v>14228600</v>
      </c>
      <c r="O42" s="28">
        <v>27071320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33622857</v>
      </c>
      <c r="BH42" s="28">
        <v>33622857</v>
      </c>
      <c r="BI42" s="28">
        <v>1000000</v>
      </c>
      <c r="BJ42" s="28">
        <v>157734331</v>
      </c>
      <c r="BK42" s="28">
        <v>158734331</v>
      </c>
      <c r="BL42" s="28">
        <v>192357188</v>
      </c>
      <c r="BM42" s="28">
        <v>0</v>
      </c>
      <c r="BN42" s="28">
        <v>35299992</v>
      </c>
      <c r="BO42" s="28">
        <v>35299992</v>
      </c>
      <c r="BP42" s="28">
        <v>52263242</v>
      </c>
      <c r="BQ42" s="28">
        <v>83075934</v>
      </c>
      <c r="BR42" s="28">
        <v>135339176</v>
      </c>
      <c r="BS42" s="28">
        <v>170639168</v>
      </c>
      <c r="BT42" s="28">
        <v>0</v>
      </c>
      <c r="BU42" s="28">
        <v>26765000</v>
      </c>
      <c r="BV42" s="28">
        <v>0</v>
      </c>
      <c r="BW42" s="28">
        <v>26765000</v>
      </c>
      <c r="BX42" s="28">
        <v>62805237</v>
      </c>
      <c r="BY42" s="28">
        <v>22515822.360000003</v>
      </c>
      <c r="BZ42" s="28">
        <v>85321059.359999999</v>
      </c>
      <c r="CA42" s="28">
        <v>112086059.36</v>
      </c>
      <c r="CB42" s="28">
        <v>0</v>
      </c>
      <c r="CC42" s="28">
        <v>50805000</v>
      </c>
      <c r="CD42" s="28">
        <v>0</v>
      </c>
      <c r="CE42" s="28">
        <v>50805000</v>
      </c>
      <c r="CF42" s="28">
        <v>12199116.26</v>
      </c>
      <c r="CG42" s="28">
        <v>134762757.70000002</v>
      </c>
      <c r="CH42" s="28">
        <v>146961873.95999998</v>
      </c>
      <c r="CI42" s="29">
        <v>197766873.96000001</v>
      </c>
    </row>
    <row r="43" spans="1:100" x14ac:dyDescent="0.25">
      <c r="A43" s="14" t="s">
        <v>73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f>1.142031*1000000</f>
        <v>1142031</v>
      </c>
      <c r="R43" s="28">
        <f>1.142031*1000000</f>
        <v>1142031</v>
      </c>
      <c r="S43" s="28">
        <v>0</v>
      </c>
      <c r="T43" s="28">
        <v>0</v>
      </c>
      <c r="U43" s="28">
        <v>0</v>
      </c>
      <c r="V43" s="28">
        <f>1.142031*1000000</f>
        <v>1142031</v>
      </c>
      <c r="W43" s="28">
        <v>0</v>
      </c>
      <c r="X43" s="28">
        <v>2150117</v>
      </c>
      <c r="Y43" s="28">
        <v>2150117</v>
      </c>
      <c r="Z43" s="28">
        <v>0</v>
      </c>
      <c r="AA43" s="28">
        <v>0</v>
      </c>
      <c r="AB43" s="28">
        <v>0</v>
      </c>
      <c r="AC43" s="28">
        <v>2150117</v>
      </c>
      <c r="AD43" s="28">
        <v>0</v>
      </c>
      <c r="AE43" s="28">
        <f>2.256*1000000</f>
        <v>2256000</v>
      </c>
      <c r="AF43" s="28">
        <f>2.256*1000000</f>
        <v>2256000</v>
      </c>
      <c r="AG43" s="28">
        <v>0</v>
      </c>
      <c r="AH43" s="28">
        <v>0</v>
      </c>
      <c r="AI43" s="28">
        <v>0</v>
      </c>
      <c r="AJ43" s="28">
        <f>2.256*1000000</f>
        <v>2256000</v>
      </c>
      <c r="AK43" s="28">
        <v>0</v>
      </c>
      <c r="AL43" s="28">
        <f>2.7*1000000</f>
        <v>2700000</v>
      </c>
      <c r="AM43" s="28">
        <v>2700000</v>
      </c>
      <c r="AN43" s="28">
        <v>0</v>
      </c>
      <c r="AO43" s="28">
        <v>0</v>
      </c>
      <c r="AP43" s="28">
        <v>0</v>
      </c>
      <c r="AQ43" s="28">
        <v>2700000</v>
      </c>
      <c r="AR43" s="28">
        <v>0</v>
      </c>
      <c r="AS43" s="28">
        <v>3118000</v>
      </c>
      <c r="AT43" s="28">
        <v>3118000</v>
      </c>
      <c r="AU43" s="28">
        <v>0</v>
      </c>
      <c r="AV43" s="28">
        <v>0</v>
      </c>
      <c r="AW43" s="28">
        <v>0</v>
      </c>
      <c r="AX43" s="28">
        <v>3118000</v>
      </c>
      <c r="AY43" s="28">
        <v>0</v>
      </c>
      <c r="AZ43" s="28">
        <v>3499996</v>
      </c>
      <c r="BA43" s="28">
        <v>3499996</v>
      </c>
      <c r="BB43" s="28">
        <v>0</v>
      </c>
      <c r="BC43" s="28">
        <v>0</v>
      </c>
      <c r="BD43" s="28">
        <v>0</v>
      </c>
      <c r="BE43" s="28">
        <v>3499996</v>
      </c>
      <c r="BF43" s="28">
        <v>0</v>
      </c>
      <c r="BG43" s="28">
        <v>2300000</v>
      </c>
      <c r="BH43" s="28">
        <v>2300000</v>
      </c>
      <c r="BI43" s="28">
        <v>0</v>
      </c>
      <c r="BJ43" s="28">
        <v>0</v>
      </c>
      <c r="BK43" s="28">
        <v>0</v>
      </c>
      <c r="BL43" s="28">
        <v>2300000</v>
      </c>
      <c r="BM43" s="28">
        <v>0</v>
      </c>
      <c r="BN43" s="28">
        <v>2722773</v>
      </c>
      <c r="BO43" s="28">
        <v>2722773</v>
      </c>
      <c r="BP43" s="28">
        <v>0</v>
      </c>
      <c r="BQ43" s="28">
        <v>0</v>
      </c>
      <c r="BR43" s="28">
        <v>0</v>
      </c>
      <c r="BS43" s="28">
        <v>2722773</v>
      </c>
      <c r="BT43" s="28">
        <v>0</v>
      </c>
      <c r="BU43" s="28">
        <v>2800000</v>
      </c>
      <c r="BV43" s="28">
        <v>0</v>
      </c>
      <c r="BW43" s="28">
        <v>2800000</v>
      </c>
      <c r="BX43" s="28">
        <v>0</v>
      </c>
      <c r="BY43" s="28">
        <v>0</v>
      </c>
      <c r="BZ43" s="28">
        <v>0</v>
      </c>
      <c r="CA43" s="28">
        <v>2800000</v>
      </c>
      <c r="CB43" s="28">
        <v>0</v>
      </c>
      <c r="CC43" s="28">
        <v>7987000</v>
      </c>
      <c r="CD43" s="28">
        <v>0</v>
      </c>
      <c r="CE43" s="28">
        <v>7987000</v>
      </c>
      <c r="CF43" s="28">
        <v>0</v>
      </c>
      <c r="CG43" s="28">
        <v>0</v>
      </c>
      <c r="CH43" s="28">
        <v>0</v>
      </c>
      <c r="CI43" s="29">
        <v>7987000</v>
      </c>
    </row>
    <row r="44" spans="1:100" x14ac:dyDescent="0.25">
      <c r="A44" s="15" t="s">
        <v>74</v>
      </c>
      <c r="B44" s="28">
        <v>0</v>
      </c>
      <c r="C44" s="28">
        <v>0</v>
      </c>
      <c r="D44" s="28">
        <v>0</v>
      </c>
      <c r="E44" s="28">
        <v>0</v>
      </c>
      <c r="F44" s="28">
        <v>37630000</v>
      </c>
      <c r="G44" s="28">
        <v>37630000</v>
      </c>
      <c r="H44" s="28">
        <v>37630000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96320250</v>
      </c>
      <c r="X44" s="28">
        <v>0</v>
      </c>
      <c r="Y44" s="28">
        <v>96320250</v>
      </c>
      <c r="Z44" s="28">
        <v>88305000</v>
      </c>
      <c r="AA44" s="28">
        <v>42457500</v>
      </c>
      <c r="AB44" s="28">
        <v>130762500</v>
      </c>
      <c r="AC44" s="28">
        <v>227082750</v>
      </c>
      <c r="AD44" s="28">
        <f>30.96943*1000000</f>
        <v>30969430</v>
      </c>
      <c r="AE44" s="28">
        <v>0</v>
      </c>
      <c r="AF44" s="28">
        <f>30.96943*1000000</f>
        <v>30969430</v>
      </c>
      <c r="AG44" s="28">
        <f>17.823241*1000000</f>
        <v>17823241</v>
      </c>
      <c r="AH44" s="28">
        <f>256.522014*1000000</f>
        <v>256522014</v>
      </c>
      <c r="AI44" s="28">
        <f>274.345255*1000000</f>
        <v>274345255</v>
      </c>
      <c r="AJ44" s="28">
        <f>305.314685*1000000</f>
        <v>305314685</v>
      </c>
      <c r="AK44" s="28">
        <v>36.898007999999997</v>
      </c>
      <c r="AL44" s="28">
        <v>0</v>
      </c>
      <c r="AM44" s="28">
        <v>36898008</v>
      </c>
      <c r="AN44" s="28">
        <v>0</v>
      </c>
      <c r="AO44" s="28">
        <v>0</v>
      </c>
      <c r="AP44" s="28">
        <v>0</v>
      </c>
      <c r="AQ44" s="28">
        <v>36898008</v>
      </c>
      <c r="AR44" s="28">
        <v>106779770</v>
      </c>
      <c r="AS44" s="28">
        <v>0</v>
      </c>
      <c r="AT44" s="28">
        <v>106779770</v>
      </c>
      <c r="AU44" s="28">
        <v>0</v>
      </c>
      <c r="AV44" s="28">
        <v>0</v>
      </c>
      <c r="AW44" s="28">
        <v>0</v>
      </c>
      <c r="AX44" s="28">
        <v>106779770</v>
      </c>
      <c r="AY44" s="28">
        <f>83.879377*1000000</f>
        <v>83879377</v>
      </c>
      <c r="AZ44" s="28">
        <v>0</v>
      </c>
      <c r="BA44" s="28">
        <v>83879377</v>
      </c>
      <c r="BB44" s="28">
        <v>0</v>
      </c>
      <c r="BC44" s="28">
        <v>0</v>
      </c>
      <c r="BD44" s="28">
        <v>0</v>
      </c>
      <c r="BE44" s="28">
        <v>83879377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S44" s="28">
        <v>0</v>
      </c>
      <c r="BT44" s="28">
        <v>0</v>
      </c>
      <c r="BU44" s="28">
        <v>0</v>
      </c>
      <c r="BV44" s="28">
        <v>0</v>
      </c>
      <c r="BW44" s="28">
        <v>0</v>
      </c>
      <c r="BX44" s="28">
        <v>0</v>
      </c>
      <c r="BY44" s="28">
        <v>0</v>
      </c>
      <c r="BZ44" s="28">
        <v>0</v>
      </c>
      <c r="CA44" s="28">
        <v>0</v>
      </c>
      <c r="CB44" s="28">
        <v>0</v>
      </c>
      <c r="CC44" s="28">
        <v>0</v>
      </c>
      <c r="CD44" s="28">
        <v>0</v>
      </c>
      <c r="CE44" s="28">
        <v>0</v>
      </c>
      <c r="CF44" s="28">
        <v>0</v>
      </c>
      <c r="CG44" s="28">
        <v>0</v>
      </c>
      <c r="CH44" s="28">
        <v>0</v>
      </c>
      <c r="CI44" s="29">
        <v>0</v>
      </c>
    </row>
    <row r="45" spans="1:100" x14ac:dyDescent="0.25">
      <c r="A45" s="14" t="s">
        <v>75</v>
      </c>
      <c r="B45" s="28">
        <v>0</v>
      </c>
      <c r="C45" s="28">
        <v>16400000</v>
      </c>
      <c r="D45" s="28">
        <v>16400000</v>
      </c>
      <c r="E45" s="28">
        <v>27564292</v>
      </c>
      <c r="F45" s="28">
        <v>29510440</v>
      </c>
      <c r="G45" s="28">
        <v>57074732</v>
      </c>
      <c r="H45" s="28">
        <v>73474732</v>
      </c>
      <c r="I45" s="28">
        <v>0</v>
      </c>
      <c r="J45" s="28">
        <v>38480960</v>
      </c>
      <c r="K45" s="28">
        <v>38480960</v>
      </c>
      <c r="L45" s="28">
        <v>11251200</v>
      </c>
      <c r="M45" s="28">
        <v>49324500</v>
      </c>
      <c r="N45" s="28">
        <v>60575700</v>
      </c>
      <c r="O45" s="28">
        <v>99056660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S45" s="28">
        <v>0</v>
      </c>
      <c r="BT45" s="28">
        <v>0</v>
      </c>
      <c r="BU45" s="28">
        <v>0</v>
      </c>
      <c r="BV45" s="28">
        <v>0</v>
      </c>
      <c r="BW45" s="28">
        <v>0</v>
      </c>
      <c r="BX45" s="28">
        <v>0</v>
      </c>
      <c r="BY45" s="28">
        <v>0</v>
      </c>
      <c r="BZ45" s="28">
        <v>0</v>
      </c>
      <c r="CA45" s="28">
        <v>0</v>
      </c>
      <c r="CB45" s="28">
        <v>0</v>
      </c>
      <c r="CC45" s="28">
        <v>0</v>
      </c>
      <c r="CD45" s="28">
        <v>0</v>
      </c>
      <c r="CE45" s="28">
        <v>0</v>
      </c>
      <c r="CF45" s="28">
        <v>0</v>
      </c>
      <c r="CG45" s="28">
        <v>0</v>
      </c>
      <c r="CH45" s="28">
        <v>0</v>
      </c>
      <c r="CI45" s="29">
        <v>0</v>
      </c>
    </row>
    <row r="46" spans="1:100" x14ac:dyDescent="0.25">
      <c r="A46" s="14" t="s">
        <v>38</v>
      </c>
      <c r="B46" s="28">
        <v>0</v>
      </c>
      <c r="C46" s="28">
        <v>7919150</v>
      </c>
      <c r="D46" s="28">
        <v>7919150</v>
      </c>
      <c r="E46" s="28">
        <v>0</v>
      </c>
      <c r="F46" s="28">
        <v>38084750</v>
      </c>
      <c r="G46" s="28">
        <v>38084750</v>
      </c>
      <c r="H46" s="28">
        <v>46003900</v>
      </c>
      <c r="I46" s="28">
        <v>0</v>
      </c>
      <c r="J46" s="28">
        <v>8478504.1999999993</v>
      </c>
      <c r="K46" s="28">
        <v>8478504.1999999993</v>
      </c>
      <c r="L46" s="28">
        <v>0</v>
      </c>
      <c r="M46" s="28">
        <v>0</v>
      </c>
      <c r="N46" s="28">
        <v>0</v>
      </c>
      <c r="O46" s="28">
        <v>8478504.1999999993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S46" s="28">
        <v>0</v>
      </c>
      <c r="BT46" s="28">
        <v>0</v>
      </c>
      <c r="BU46" s="28">
        <v>0</v>
      </c>
      <c r="BV46" s="28">
        <v>0</v>
      </c>
      <c r="BW46" s="28">
        <v>0</v>
      </c>
      <c r="BX46" s="28">
        <v>0</v>
      </c>
      <c r="BY46" s="28">
        <v>0</v>
      </c>
      <c r="BZ46" s="28">
        <v>0</v>
      </c>
      <c r="CA46" s="28">
        <v>0</v>
      </c>
      <c r="CB46" s="28">
        <v>0</v>
      </c>
      <c r="CC46" s="28">
        <v>0</v>
      </c>
      <c r="CD46" s="28">
        <v>0</v>
      </c>
      <c r="CE46" s="28">
        <v>0</v>
      </c>
      <c r="CF46" s="28">
        <v>0</v>
      </c>
      <c r="CG46" s="28">
        <v>0</v>
      </c>
      <c r="CH46" s="28">
        <v>0</v>
      </c>
      <c r="CI46" s="29">
        <v>0</v>
      </c>
    </row>
    <row r="47" spans="1:100" x14ac:dyDescent="0.25">
      <c r="A47" s="15" t="s">
        <v>76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36800000</v>
      </c>
      <c r="K47" s="28">
        <v>36800000</v>
      </c>
      <c r="L47" s="28">
        <v>0</v>
      </c>
      <c r="M47" s="28">
        <v>0</v>
      </c>
      <c r="N47" s="28">
        <v>0</v>
      </c>
      <c r="O47" s="28">
        <v>36800000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8">
        <v>0</v>
      </c>
      <c r="AN47" s="28">
        <v>0</v>
      </c>
      <c r="AO47" s="28">
        <v>0</v>
      </c>
      <c r="AP47" s="28">
        <v>0</v>
      </c>
      <c r="AQ47" s="28">
        <v>0</v>
      </c>
      <c r="AR47" s="28">
        <v>0</v>
      </c>
      <c r="AS47" s="28">
        <v>0</v>
      </c>
      <c r="AT47" s="28">
        <v>0</v>
      </c>
      <c r="AU47" s="28">
        <v>0</v>
      </c>
      <c r="AV47" s="28">
        <v>0</v>
      </c>
      <c r="AW47" s="28">
        <v>0</v>
      </c>
      <c r="AX47" s="28">
        <v>0</v>
      </c>
      <c r="AY47" s="28">
        <v>0</v>
      </c>
      <c r="AZ47" s="28">
        <v>0</v>
      </c>
      <c r="BA47" s="28">
        <v>0</v>
      </c>
      <c r="BB47" s="28">
        <v>0</v>
      </c>
      <c r="BC47" s="28">
        <v>0</v>
      </c>
      <c r="BD47" s="28">
        <v>0</v>
      </c>
      <c r="BE47" s="28">
        <v>0</v>
      </c>
      <c r="BF47" s="28">
        <v>0</v>
      </c>
      <c r="BG47" s="28">
        <v>0</v>
      </c>
      <c r="BH47" s="28">
        <v>0</v>
      </c>
      <c r="BI47" s="28">
        <v>0</v>
      </c>
      <c r="BJ47" s="28">
        <v>0</v>
      </c>
      <c r="BK47" s="28">
        <v>0</v>
      </c>
      <c r="BL47" s="28">
        <v>0</v>
      </c>
      <c r="BM47" s="28">
        <v>0</v>
      </c>
      <c r="BN47" s="28">
        <v>0</v>
      </c>
      <c r="BO47" s="28">
        <v>0</v>
      </c>
      <c r="BP47" s="28">
        <v>0</v>
      </c>
      <c r="BQ47" s="28">
        <v>0</v>
      </c>
      <c r="BR47" s="28">
        <v>0</v>
      </c>
      <c r="BS47" s="28">
        <v>0</v>
      </c>
      <c r="BT47" s="28">
        <v>0</v>
      </c>
      <c r="BU47" s="28">
        <v>0</v>
      </c>
      <c r="BV47" s="28">
        <v>0</v>
      </c>
      <c r="BW47" s="28">
        <v>0</v>
      </c>
      <c r="BX47" s="28">
        <v>0</v>
      </c>
      <c r="BY47" s="28">
        <v>0</v>
      </c>
      <c r="BZ47" s="28">
        <v>0</v>
      </c>
      <c r="CA47" s="28">
        <v>0</v>
      </c>
      <c r="CB47" s="28">
        <v>0</v>
      </c>
      <c r="CC47" s="28">
        <v>0</v>
      </c>
      <c r="CD47" s="28">
        <v>0</v>
      </c>
      <c r="CE47" s="28">
        <v>0</v>
      </c>
      <c r="CF47" s="28">
        <v>0</v>
      </c>
      <c r="CG47" s="28">
        <v>0</v>
      </c>
      <c r="CH47" s="28">
        <v>0</v>
      </c>
      <c r="CI47" s="29">
        <v>0</v>
      </c>
    </row>
    <row r="48" spans="1:100" x14ac:dyDescent="0.25">
      <c r="A48" s="1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4245750</v>
      </c>
      <c r="AB48" s="28">
        <v>4245750</v>
      </c>
      <c r="AC48" s="28">
        <v>4245750</v>
      </c>
      <c r="AD48" s="28">
        <f>130.01*1000000</f>
        <v>130009999.99999999</v>
      </c>
      <c r="AE48" s="28">
        <v>0</v>
      </c>
      <c r="AF48" s="28">
        <f>130.01*1000000</f>
        <v>130009999.99999999</v>
      </c>
      <c r="AG48" s="28">
        <v>0</v>
      </c>
      <c r="AH48" s="28">
        <f>8.327653*1000000</f>
        <v>8327653</v>
      </c>
      <c r="AI48" s="28">
        <f>8.327653*1000000</f>
        <v>8327653</v>
      </c>
      <c r="AJ48" s="28">
        <f>138.337653*1000000</f>
        <v>138337653</v>
      </c>
      <c r="AK48" s="28">
        <v>129.21937800000001</v>
      </c>
      <c r="AL48" s="28">
        <v>0</v>
      </c>
      <c r="AM48" s="28">
        <v>129219378</v>
      </c>
      <c r="AN48" s="28">
        <v>8875810</v>
      </c>
      <c r="AO48" s="28">
        <v>4759713</v>
      </c>
      <c r="AP48" s="28">
        <v>13635523</v>
      </c>
      <c r="AQ48" s="28">
        <v>142854901</v>
      </c>
      <c r="AR48" s="28">
        <v>212839650</v>
      </c>
      <c r="AS48" s="28">
        <v>0</v>
      </c>
      <c r="AT48" s="28">
        <v>212839650</v>
      </c>
      <c r="AU48" s="28">
        <v>16538303</v>
      </c>
      <c r="AV48" s="28">
        <v>298177900</v>
      </c>
      <c r="AW48" s="28">
        <v>314716203</v>
      </c>
      <c r="AX48" s="28">
        <v>527555852.99999994</v>
      </c>
      <c r="AY48" s="28">
        <f>55.020649*1000000</f>
        <v>55020649</v>
      </c>
      <c r="AZ48" s="28">
        <v>0</v>
      </c>
      <c r="BA48" s="28">
        <v>55020649</v>
      </c>
      <c r="BB48" s="28">
        <v>20163348</v>
      </c>
      <c r="BC48" s="28">
        <v>5000000</v>
      </c>
      <c r="BD48" s="28">
        <v>25163348</v>
      </c>
      <c r="BE48" s="28">
        <v>80183997</v>
      </c>
      <c r="BF48" s="28">
        <v>60208900</v>
      </c>
      <c r="BG48" s="28">
        <v>0</v>
      </c>
      <c r="BH48" s="28">
        <v>60208900</v>
      </c>
      <c r="BI48" s="28">
        <v>11064751</v>
      </c>
      <c r="BJ48" s="28">
        <v>0</v>
      </c>
      <c r="BK48" s="28">
        <v>11064751</v>
      </c>
      <c r="BL48" s="28">
        <v>71273651</v>
      </c>
      <c r="BM48" s="28">
        <v>148892603</v>
      </c>
      <c r="BN48" s="28">
        <v>0</v>
      </c>
      <c r="BO48" s="28">
        <v>148892603</v>
      </c>
      <c r="BP48" s="28">
        <v>10764763</v>
      </c>
      <c r="BQ48" s="28">
        <v>684359851</v>
      </c>
      <c r="BR48" s="28">
        <v>695124614</v>
      </c>
      <c r="BS48" s="28">
        <v>844017217</v>
      </c>
      <c r="BT48" s="28">
        <v>6073689.6299999999</v>
      </c>
      <c r="BU48" s="28">
        <v>56067229</v>
      </c>
      <c r="BV48" s="28">
        <v>0</v>
      </c>
      <c r="BW48" s="28">
        <v>62140918.630000003</v>
      </c>
      <c r="BX48" s="28">
        <v>5710147.5</v>
      </c>
      <c r="BY48" s="28">
        <v>542192520.61000001</v>
      </c>
      <c r="BZ48" s="28">
        <v>547902668.11000001</v>
      </c>
      <c r="CA48" s="28">
        <v>610043586.74000001</v>
      </c>
      <c r="CB48" s="28">
        <v>18276703.77</v>
      </c>
      <c r="CC48" s="28">
        <v>41577000</v>
      </c>
      <c r="CD48" s="28">
        <v>0</v>
      </c>
      <c r="CE48" s="28">
        <v>59853703.770000003</v>
      </c>
      <c r="CF48" s="28">
        <v>0</v>
      </c>
      <c r="CG48" s="28">
        <v>1097723579</v>
      </c>
      <c r="CH48" s="28">
        <v>1097723579</v>
      </c>
      <c r="CI48" s="29">
        <v>1157577282.77</v>
      </c>
    </row>
    <row r="49" spans="1:87" x14ac:dyDescent="0.25">
      <c r="A49" s="1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162832000</v>
      </c>
      <c r="Y49" s="28">
        <v>162832000</v>
      </c>
      <c r="Z49" s="28">
        <v>0</v>
      </c>
      <c r="AA49" s="28">
        <v>0</v>
      </c>
      <c r="AB49" s="28">
        <v>0</v>
      </c>
      <c r="AC49" s="28">
        <v>162832000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3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Q49" s="28">
        <v>0</v>
      </c>
      <c r="BR49" s="28">
        <v>0</v>
      </c>
      <c r="BS49" s="28">
        <v>0</v>
      </c>
      <c r="BT49" s="28">
        <v>0</v>
      </c>
      <c r="BU49" s="28">
        <v>0</v>
      </c>
      <c r="BV49" s="28">
        <v>0</v>
      </c>
      <c r="BW49" s="28">
        <v>0</v>
      </c>
      <c r="BX49" s="28">
        <v>0</v>
      </c>
      <c r="BY49" s="28">
        <v>0</v>
      </c>
      <c r="BZ49" s="28">
        <v>0</v>
      </c>
      <c r="CA49" s="28">
        <v>0</v>
      </c>
      <c r="CB49" s="28">
        <v>0</v>
      </c>
      <c r="CC49" s="28">
        <v>0</v>
      </c>
      <c r="CD49" s="28">
        <v>0</v>
      </c>
      <c r="CE49" s="28">
        <v>0</v>
      </c>
      <c r="CF49" s="28">
        <v>0</v>
      </c>
      <c r="CG49" s="28">
        <v>0</v>
      </c>
      <c r="CH49" s="28">
        <v>0</v>
      </c>
      <c r="CI49" s="29">
        <v>0</v>
      </c>
    </row>
    <row r="50" spans="1:87" x14ac:dyDescent="0.25">
      <c r="A50" s="15" t="s">
        <v>77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2249250</v>
      </c>
      <c r="Y50" s="28">
        <v>2249250</v>
      </c>
      <c r="Z50" s="28">
        <v>2200000</v>
      </c>
      <c r="AA50" s="28">
        <v>0</v>
      </c>
      <c r="AB50" s="28">
        <v>2200000</v>
      </c>
      <c r="AC50" s="28">
        <v>4449250</v>
      </c>
      <c r="AD50" s="28">
        <v>0</v>
      </c>
      <c r="AE50" s="28">
        <f>1.602*1000000</f>
        <v>1602000</v>
      </c>
      <c r="AF50" s="28">
        <f>1.602*1000000</f>
        <v>1602000</v>
      </c>
      <c r="AG50" s="28">
        <f>8.589538*1000000</f>
        <v>8589538</v>
      </c>
      <c r="AH50" s="28">
        <f>28.84635*1000000</f>
        <v>28846350</v>
      </c>
      <c r="AI50" s="28">
        <f>37.435888*1000000</f>
        <v>37435888</v>
      </c>
      <c r="AJ50" s="28">
        <f>39.037888*1000000</f>
        <v>39037888</v>
      </c>
      <c r="AK50" s="28">
        <v>0</v>
      </c>
      <c r="AL50" s="28">
        <f>1.083933*1000000</f>
        <v>1083933</v>
      </c>
      <c r="AM50" s="28">
        <v>1083933</v>
      </c>
      <c r="AN50" s="28">
        <v>9689710</v>
      </c>
      <c r="AO50" s="28">
        <v>18946927</v>
      </c>
      <c r="AP50" s="28">
        <v>28636637</v>
      </c>
      <c r="AQ50" s="28">
        <v>29720570</v>
      </c>
      <c r="AR50" s="28">
        <v>0</v>
      </c>
      <c r="AS50" s="28">
        <v>23241</v>
      </c>
      <c r="AT50" s="28">
        <v>23241</v>
      </c>
      <c r="AU50" s="28">
        <v>14978684</v>
      </c>
      <c r="AV50" s="28">
        <v>3133162</v>
      </c>
      <c r="AW50" s="28">
        <v>18111846</v>
      </c>
      <c r="AX50" s="28">
        <v>18135087</v>
      </c>
      <c r="AY50" s="28">
        <v>0</v>
      </c>
      <c r="AZ50" s="28">
        <v>3179102</v>
      </c>
      <c r="BA50" s="28">
        <v>3179102</v>
      </c>
      <c r="BB50" s="28">
        <v>3281770</v>
      </c>
      <c r="BC50" s="28">
        <v>4526000</v>
      </c>
      <c r="BD50" s="28">
        <v>7807770</v>
      </c>
      <c r="BE50" s="28">
        <v>10986872</v>
      </c>
      <c r="BF50" s="28">
        <v>0</v>
      </c>
      <c r="BG50" s="28">
        <v>0</v>
      </c>
      <c r="BH50" s="28">
        <v>0</v>
      </c>
      <c r="BI50" s="28">
        <v>0</v>
      </c>
      <c r="BJ50" s="28">
        <v>4087388</v>
      </c>
      <c r="BK50" s="28">
        <v>4087388</v>
      </c>
      <c r="BL50" s="28">
        <v>4087388</v>
      </c>
      <c r="BM50" s="28">
        <v>0</v>
      </c>
      <c r="BN50" s="28">
        <v>0</v>
      </c>
      <c r="BO50" s="28">
        <v>0</v>
      </c>
      <c r="BP50" s="28">
        <v>0</v>
      </c>
      <c r="BQ50" s="28">
        <v>7874964</v>
      </c>
      <c r="BR50" s="28">
        <v>7874964</v>
      </c>
      <c r="BS50" s="28">
        <v>7874964</v>
      </c>
      <c r="BT50" s="28">
        <v>0</v>
      </c>
      <c r="BU50" s="28">
        <v>1324300</v>
      </c>
      <c r="BV50" s="28">
        <v>0</v>
      </c>
      <c r="BW50" s="28">
        <v>1324300</v>
      </c>
      <c r="BX50" s="28">
        <v>0</v>
      </c>
      <c r="BY50" s="28">
        <v>12530446</v>
      </c>
      <c r="BZ50" s="28">
        <v>12530446</v>
      </c>
      <c r="CA50" s="28">
        <v>13854746</v>
      </c>
      <c r="CB50" s="28">
        <v>0</v>
      </c>
      <c r="CC50" s="28">
        <v>338142</v>
      </c>
      <c r="CD50" s="28">
        <v>0</v>
      </c>
      <c r="CE50" s="28">
        <v>338142</v>
      </c>
      <c r="CF50" s="28">
        <v>1903440</v>
      </c>
      <c r="CG50" s="28">
        <v>0</v>
      </c>
      <c r="CH50" s="28">
        <v>1903440</v>
      </c>
      <c r="CI50" s="29">
        <v>2241582</v>
      </c>
    </row>
    <row r="51" spans="1:87" x14ac:dyDescent="0.25">
      <c r="A51" s="15" t="s">
        <v>41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2733833</v>
      </c>
      <c r="Y51" s="28">
        <v>2733833</v>
      </c>
      <c r="Z51" s="28">
        <v>0</v>
      </c>
      <c r="AA51" s="28">
        <v>20650000</v>
      </c>
      <c r="AB51" s="28">
        <v>20650000</v>
      </c>
      <c r="AC51" s="28">
        <v>23383833</v>
      </c>
      <c r="AD51" s="28">
        <v>0</v>
      </c>
      <c r="AE51" s="28">
        <f>2.319*1000000</f>
        <v>2319000</v>
      </c>
      <c r="AF51" s="28">
        <f>2.319*1000000</f>
        <v>2319000</v>
      </c>
      <c r="AG51" s="28">
        <v>0</v>
      </c>
      <c r="AH51" s="28">
        <f>35.805*1000000</f>
        <v>35805000</v>
      </c>
      <c r="AI51" s="28">
        <f>35.805*1000000</f>
        <v>35805000</v>
      </c>
      <c r="AJ51" s="28">
        <f>38.124*1000000</f>
        <v>38124000</v>
      </c>
      <c r="AK51" s="28">
        <v>0</v>
      </c>
      <c r="AL51" s="28">
        <f>2.081998*1000000</f>
        <v>2081998</v>
      </c>
      <c r="AM51" s="28">
        <v>2081998</v>
      </c>
      <c r="AN51" s="28">
        <v>0</v>
      </c>
      <c r="AO51" s="28">
        <v>37336999</v>
      </c>
      <c r="AP51" s="28">
        <v>37336999</v>
      </c>
      <c r="AQ51" s="28">
        <v>39418997</v>
      </c>
      <c r="AR51" s="28">
        <v>0</v>
      </c>
      <c r="AS51" s="28">
        <v>2534999</v>
      </c>
      <c r="AT51" s="28">
        <v>2534999</v>
      </c>
      <c r="AU51" s="28">
        <v>0</v>
      </c>
      <c r="AV51" s="28">
        <v>9694998</v>
      </c>
      <c r="AW51" s="28">
        <v>9694998</v>
      </c>
      <c r="AX51" s="28">
        <v>12229997</v>
      </c>
      <c r="AY51" s="28">
        <v>0</v>
      </c>
      <c r="AZ51" s="28">
        <v>3477000</v>
      </c>
      <c r="BA51" s="28">
        <v>3477000</v>
      </c>
      <c r="BB51" s="28">
        <v>0</v>
      </c>
      <c r="BC51" s="28">
        <v>26727098</v>
      </c>
      <c r="BD51" s="28">
        <v>26727098</v>
      </c>
      <c r="BE51" s="28">
        <v>30204098</v>
      </c>
      <c r="BF51" s="28">
        <v>0</v>
      </c>
      <c r="BG51" s="28">
        <v>2247000</v>
      </c>
      <c r="BH51" s="28">
        <v>2247000</v>
      </c>
      <c r="BI51" s="28">
        <v>0</v>
      </c>
      <c r="BJ51" s="28">
        <v>38060000</v>
      </c>
      <c r="BK51" s="28">
        <v>38060000</v>
      </c>
      <c r="BL51" s="28">
        <v>40307000</v>
      </c>
      <c r="BM51" s="28">
        <v>0</v>
      </c>
      <c r="BN51" s="28">
        <v>0</v>
      </c>
      <c r="BO51" s="28">
        <v>0</v>
      </c>
      <c r="BP51" s="28">
        <v>0</v>
      </c>
      <c r="BQ51" s="28">
        <v>0</v>
      </c>
      <c r="BR51" s="28">
        <v>0</v>
      </c>
      <c r="BS51" s="28">
        <v>0</v>
      </c>
      <c r="BT51" s="28">
        <v>0</v>
      </c>
      <c r="BU51" s="28">
        <v>0</v>
      </c>
      <c r="BV51" s="28">
        <v>0</v>
      </c>
      <c r="BW51" s="28">
        <v>0</v>
      </c>
      <c r="BX51" s="28">
        <v>0</v>
      </c>
      <c r="BY51" s="28">
        <v>0</v>
      </c>
      <c r="BZ51" s="28">
        <v>0</v>
      </c>
      <c r="CA51" s="28">
        <v>0</v>
      </c>
      <c r="CB51" s="28">
        <v>0</v>
      </c>
      <c r="CC51" s="28">
        <v>0</v>
      </c>
      <c r="CD51" s="28">
        <v>0</v>
      </c>
      <c r="CE51" s="28">
        <v>0</v>
      </c>
      <c r="CF51" s="28">
        <v>0</v>
      </c>
      <c r="CG51" s="28">
        <v>0</v>
      </c>
      <c r="CH51" s="28">
        <v>0</v>
      </c>
      <c r="CI51" s="29">
        <v>0</v>
      </c>
    </row>
    <row r="52" spans="1:87" x14ac:dyDescent="0.25">
      <c r="A52" s="15" t="s">
        <v>42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27500000</v>
      </c>
      <c r="Y52" s="28">
        <v>27500000</v>
      </c>
      <c r="Z52" s="28">
        <v>13014224</v>
      </c>
      <c r="AA52" s="28">
        <v>42741616</v>
      </c>
      <c r="AB52" s="28">
        <v>55755840</v>
      </c>
      <c r="AC52" s="28">
        <v>83255840</v>
      </c>
      <c r="AD52" s="28">
        <v>0</v>
      </c>
      <c r="AE52" s="28">
        <f>28.174867*1000000</f>
        <v>28174867</v>
      </c>
      <c r="AF52" s="28">
        <v>28.174866999999999</v>
      </c>
      <c r="AG52" s="28">
        <f>11.820778*1000000</f>
        <v>11820778</v>
      </c>
      <c r="AH52" s="28">
        <f>38.632*1000000</f>
        <v>38632000</v>
      </c>
      <c r="AI52" s="28">
        <f>50.452778*1000000</f>
        <v>50452778</v>
      </c>
      <c r="AJ52" s="28">
        <f>78.627645*1000000</f>
        <v>78627645</v>
      </c>
      <c r="AK52" s="28">
        <v>0</v>
      </c>
      <c r="AL52" s="28">
        <f>30*1000000</f>
        <v>30000000</v>
      </c>
      <c r="AM52" s="28">
        <v>30000000</v>
      </c>
      <c r="AN52" s="28">
        <v>34452000</v>
      </c>
      <c r="AO52" s="28">
        <v>55200000</v>
      </c>
      <c r="AP52" s="28">
        <v>89652000</v>
      </c>
      <c r="AQ52" s="28">
        <v>119652000</v>
      </c>
      <c r="AR52" s="28">
        <v>0</v>
      </c>
      <c r="AS52" s="28">
        <v>24725045</v>
      </c>
      <c r="AT52" s="28">
        <v>24725045</v>
      </c>
      <c r="AU52" s="28">
        <v>3557916</v>
      </c>
      <c r="AV52" s="28">
        <v>61739000</v>
      </c>
      <c r="AW52" s="28">
        <v>65296915.999999993</v>
      </c>
      <c r="AX52" s="28">
        <v>90021961</v>
      </c>
      <c r="AY52" s="28">
        <v>0</v>
      </c>
      <c r="AZ52" s="28">
        <v>26726000</v>
      </c>
      <c r="BA52" s="28">
        <v>26726000</v>
      </c>
      <c r="BB52" s="28">
        <v>3558000</v>
      </c>
      <c r="BC52" s="28">
        <v>45000000</v>
      </c>
      <c r="BD52" s="28">
        <v>48558000</v>
      </c>
      <c r="BE52" s="28">
        <v>75284000</v>
      </c>
      <c r="BF52" s="28">
        <v>0</v>
      </c>
      <c r="BG52" s="28">
        <v>10000000</v>
      </c>
      <c r="BH52" s="28">
        <v>10000000</v>
      </c>
      <c r="BI52" s="28">
        <v>0</v>
      </c>
      <c r="BJ52" s="28">
        <v>93306668</v>
      </c>
      <c r="BK52" s="28">
        <v>93306668</v>
      </c>
      <c r="BL52" s="28">
        <v>103306668</v>
      </c>
      <c r="BM52" s="28">
        <v>0</v>
      </c>
      <c r="BN52" s="28">
        <v>107500000</v>
      </c>
      <c r="BO52" s="28">
        <v>107500000</v>
      </c>
      <c r="BP52" s="28">
        <v>0</v>
      </c>
      <c r="BQ52" s="28">
        <v>46592000</v>
      </c>
      <c r="BR52" s="28">
        <v>46592000</v>
      </c>
      <c r="BS52" s="28">
        <v>154092000</v>
      </c>
      <c r="BT52" s="28">
        <v>0</v>
      </c>
      <c r="BU52" s="28">
        <v>113986000</v>
      </c>
      <c r="BV52" s="28">
        <v>0</v>
      </c>
      <c r="BW52" s="28">
        <v>113986000</v>
      </c>
      <c r="BX52" s="28">
        <v>0</v>
      </c>
      <c r="BY52" s="28">
        <v>27208000</v>
      </c>
      <c r="BZ52" s="28">
        <v>27208000</v>
      </c>
      <c r="CA52" s="28">
        <v>141194000</v>
      </c>
      <c r="CB52" s="28">
        <v>0</v>
      </c>
      <c r="CC52" s="28">
        <v>0</v>
      </c>
      <c r="CD52" s="28">
        <v>0</v>
      </c>
      <c r="CE52" s="28">
        <v>0</v>
      </c>
      <c r="CF52" s="28">
        <v>0</v>
      </c>
      <c r="CG52" s="28">
        <v>0</v>
      </c>
      <c r="CH52" s="28">
        <v>0</v>
      </c>
      <c r="CI52" s="29">
        <v>0</v>
      </c>
    </row>
    <row r="53" spans="1:87" x14ac:dyDescent="0.25">
      <c r="A53" s="15" t="s">
        <v>78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21315957</v>
      </c>
      <c r="Y53" s="28">
        <v>21315957</v>
      </c>
      <c r="Z53" s="28">
        <v>54002446</v>
      </c>
      <c r="AA53" s="28">
        <v>72911640</v>
      </c>
      <c r="AB53" s="28">
        <v>126914086</v>
      </c>
      <c r="AC53" s="28">
        <v>148230043</v>
      </c>
      <c r="AD53" s="28">
        <v>0</v>
      </c>
      <c r="AE53" s="28">
        <f>22.604832*1000000</f>
        <v>22604832</v>
      </c>
      <c r="AF53" s="28">
        <f>22.604832*1000000</f>
        <v>22604832</v>
      </c>
      <c r="AG53" s="28">
        <f>93.015723*1000000</f>
        <v>93015723</v>
      </c>
      <c r="AH53" s="28">
        <f>119.900789*1000000</f>
        <v>119900789</v>
      </c>
      <c r="AI53" s="28">
        <f>212.916512*1000000</f>
        <v>212916512</v>
      </c>
      <c r="AJ53" s="28">
        <f>235.521344*1000000</f>
        <v>235521344</v>
      </c>
      <c r="AK53" s="28">
        <v>0</v>
      </c>
      <c r="AL53" s="28">
        <f>29.601651*1000000</f>
        <v>29601651</v>
      </c>
      <c r="AM53" s="28">
        <v>29601651</v>
      </c>
      <c r="AN53" s="28">
        <v>89548621</v>
      </c>
      <c r="AO53" s="28">
        <v>54384535</v>
      </c>
      <c r="AP53" s="28">
        <v>143933156</v>
      </c>
      <c r="AQ53" s="28">
        <v>173534807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Q53" s="28">
        <v>0</v>
      </c>
      <c r="BR53" s="28">
        <v>0</v>
      </c>
      <c r="BS53" s="28">
        <v>0</v>
      </c>
      <c r="BT53" s="28">
        <v>0</v>
      </c>
      <c r="BU53" s="28">
        <v>0</v>
      </c>
      <c r="BV53" s="28">
        <v>0</v>
      </c>
      <c r="BW53" s="28">
        <v>0</v>
      </c>
      <c r="BX53" s="28">
        <v>0</v>
      </c>
      <c r="BY53" s="28">
        <v>0</v>
      </c>
      <c r="BZ53" s="28">
        <v>0</v>
      </c>
      <c r="CA53" s="28">
        <v>0</v>
      </c>
      <c r="CB53" s="28">
        <v>0</v>
      </c>
      <c r="CC53" s="28">
        <v>0</v>
      </c>
      <c r="CD53" s="28">
        <v>0</v>
      </c>
      <c r="CE53" s="28">
        <v>0</v>
      </c>
      <c r="CF53" s="28">
        <v>0</v>
      </c>
      <c r="CG53" s="28">
        <v>0</v>
      </c>
      <c r="CH53" s="28">
        <v>0</v>
      </c>
      <c r="CI53" s="29">
        <v>0</v>
      </c>
    </row>
    <row r="54" spans="1:87" x14ac:dyDescent="0.25">
      <c r="A54" s="15" t="s">
        <v>92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5000000</v>
      </c>
      <c r="Y54" s="28">
        <v>5000000</v>
      </c>
      <c r="Z54" s="28">
        <v>0</v>
      </c>
      <c r="AA54" s="28">
        <v>29950000</v>
      </c>
      <c r="AB54" s="28">
        <v>29950000</v>
      </c>
      <c r="AC54" s="28">
        <v>34950000</v>
      </c>
      <c r="AD54" s="28">
        <v>0</v>
      </c>
      <c r="AE54" s="28">
        <f>3.709648*1000000</f>
        <v>3709648</v>
      </c>
      <c r="AF54" s="28">
        <f>3.709648*1000000</f>
        <v>3709648</v>
      </c>
      <c r="AG54" s="28">
        <v>0</v>
      </c>
      <c r="AH54" s="28">
        <f>60.78269*1000000</f>
        <v>60782690</v>
      </c>
      <c r="AI54" s="28">
        <f>60.78269*1000000</f>
        <v>60782690</v>
      </c>
      <c r="AJ54" s="28">
        <f>64.492338*1000000</f>
        <v>64492338</v>
      </c>
      <c r="AK54" s="28">
        <v>0</v>
      </c>
      <c r="AL54" s="28">
        <f>1.316092*1000000</f>
        <v>1316092</v>
      </c>
      <c r="AM54" s="28">
        <v>1316092</v>
      </c>
      <c r="AN54" s="28">
        <v>3182000</v>
      </c>
      <c r="AO54" s="28">
        <v>40992093</v>
      </c>
      <c r="AP54" s="28">
        <v>44174093</v>
      </c>
      <c r="AQ54" s="28">
        <v>45490185</v>
      </c>
      <c r="AR54" s="28">
        <v>0</v>
      </c>
      <c r="AS54" s="28">
        <v>2636999</v>
      </c>
      <c r="AT54" s="28">
        <v>2636999</v>
      </c>
      <c r="AU54" s="28">
        <v>13428461</v>
      </c>
      <c r="AV54" s="28">
        <v>47845066</v>
      </c>
      <c r="AW54" s="28">
        <v>61273527</v>
      </c>
      <c r="AX54" s="28">
        <v>63910526</v>
      </c>
      <c r="AY54" s="28">
        <v>0</v>
      </c>
      <c r="AZ54" s="28">
        <v>0</v>
      </c>
      <c r="BA54" s="28">
        <v>0</v>
      </c>
      <c r="BB54" s="28">
        <v>0</v>
      </c>
      <c r="BC54" s="28">
        <v>63240718</v>
      </c>
      <c r="BD54" s="28">
        <v>63240718</v>
      </c>
      <c r="BE54" s="28">
        <v>63240718</v>
      </c>
      <c r="BF54" s="28">
        <v>0</v>
      </c>
      <c r="BG54" s="28">
        <v>0</v>
      </c>
      <c r="BH54" s="28">
        <v>0</v>
      </c>
      <c r="BI54" s="28">
        <v>0</v>
      </c>
      <c r="BJ54" s="28">
        <v>43745229</v>
      </c>
      <c r="BK54" s="28">
        <v>43745229</v>
      </c>
      <c r="BL54" s="28">
        <v>43745229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C54" s="28">
        <v>0</v>
      </c>
      <c r="CD54" s="28">
        <v>0</v>
      </c>
      <c r="CE54" s="28">
        <v>0</v>
      </c>
      <c r="CF54" s="28">
        <v>0</v>
      </c>
      <c r="CG54" s="28">
        <v>0</v>
      </c>
      <c r="CH54" s="28">
        <v>0</v>
      </c>
      <c r="CI54" s="29">
        <v>0</v>
      </c>
    </row>
    <row r="55" spans="1:87" x14ac:dyDescent="0.25">
      <c r="A55" s="15" t="s">
        <v>93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7000000</v>
      </c>
      <c r="Y55" s="28">
        <v>7000000</v>
      </c>
      <c r="Z55" s="28">
        <v>0</v>
      </c>
      <c r="AA55" s="28">
        <v>0</v>
      </c>
      <c r="AB55" s="28">
        <v>0</v>
      </c>
      <c r="AC55" s="28">
        <v>7000000</v>
      </c>
      <c r="AD55" s="28">
        <v>0</v>
      </c>
      <c r="AE55" s="28">
        <f>7*1000000</f>
        <v>7000000</v>
      </c>
      <c r="AF55" s="28">
        <f>7*1000000</f>
        <v>7000000</v>
      </c>
      <c r="AG55" s="28">
        <v>0</v>
      </c>
      <c r="AH55" s="28">
        <v>0</v>
      </c>
      <c r="AI55" s="28">
        <v>0</v>
      </c>
      <c r="AJ55" s="28">
        <f>7*1000000</f>
        <v>7000000</v>
      </c>
      <c r="AK55" s="28">
        <v>0</v>
      </c>
      <c r="AL55" s="28">
        <f>6.3*1000000</f>
        <v>6300000</v>
      </c>
      <c r="AM55" s="28">
        <v>6300000</v>
      </c>
      <c r="AN55" s="28">
        <v>0</v>
      </c>
      <c r="AO55" s="28">
        <v>0</v>
      </c>
      <c r="AP55" s="28">
        <v>0</v>
      </c>
      <c r="AQ55" s="28">
        <v>6300000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A55" s="28">
        <v>0</v>
      </c>
      <c r="CB55" s="28">
        <v>0</v>
      </c>
      <c r="CC55" s="28">
        <v>0</v>
      </c>
      <c r="CD55" s="28">
        <v>0</v>
      </c>
      <c r="CE55" s="28">
        <v>0</v>
      </c>
      <c r="CF55" s="28">
        <v>0</v>
      </c>
      <c r="CG55" s="28">
        <v>0</v>
      </c>
      <c r="CH55" s="28">
        <v>0</v>
      </c>
      <c r="CI55" s="29">
        <v>0</v>
      </c>
    </row>
    <row r="56" spans="1:87" x14ac:dyDescent="0.25">
      <c r="A56" s="15" t="s">
        <v>94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5000000</v>
      </c>
      <c r="Y56" s="28">
        <v>5000000</v>
      </c>
      <c r="Z56" s="28">
        <v>0</v>
      </c>
      <c r="AA56" s="28">
        <v>0</v>
      </c>
      <c r="AB56" s="28">
        <v>0</v>
      </c>
      <c r="AC56" s="28">
        <v>5000000</v>
      </c>
      <c r="AD56" s="28">
        <v>0</v>
      </c>
      <c r="AE56" s="28">
        <f>5*1000000</f>
        <v>5000000</v>
      </c>
      <c r="AF56" s="28">
        <f>5*1000000</f>
        <v>5000000</v>
      </c>
      <c r="AG56" s="28">
        <v>0</v>
      </c>
      <c r="AH56" s="28">
        <v>0</v>
      </c>
      <c r="AI56" s="28">
        <v>0</v>
      </c>
      <c r="AJ56" s="28">
        <f>5*1000000</f>
        <v>5000000</v>
      </c>
      <c r="AK56" s="28">
        <v>0</v>
      </c>
      <c r="AL56" s="28">
        <f>4.5*1000000</f>
        <v>4500000</v>
      </c>
      <c r="AM56" s="28">
        <v>4500000</v>
      </c>
      <c r="AN56" s="28">
        <v>0</v>
      </c>
      <c r="AO56" s="28">
        <v>0</v>
      </c>
      <c r="AP56" s="28">
        <v>0</v>
      </c>
      <c r="AQ56" s="28">
        <v>4500000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3000000</v>
      </c>
      <c r="BA56" s="28">
        <v>3000000</v>
      </c>
      <c r="BB56" s="28">
        <v>0</v>
      </c>
      <c r="BC56" s="28">
        <v>0</v>
      </c>
      <c r="BD56" s="28">
        <v>0</v>
      </c>
      <c r="BE56" s="28">
        <v>3000000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4860000</v>
      </c>
      <c r="BV56" s="28">
        <v>1101500</v>
      </c>
      <c r="BW56" s="28">
        <v>5961500</v>
      </c>
      <c r="BX56" s="28">
        <v>0</v>
      </c>
      <c r="BY56" s="28">
        <v>0</v>
      </c>
      <c r="BZ56" s="28">
        <v>0</v>
      </c>
      <c r="CA56" s="28">
        <v>5961500</v>
      </c>
      <c r="CB56" s="28">
        <v>0</v>
      </c>
      <c r="CC56" s="28">
        <v>3400000</v>
      </c>
      <c r="CD56" s="28">
        <v>8788815</v>
      </c>
      <c r="CE56" s="28">
        <v>12188815</v>
      </c>
      <c r="CF56" s="28">
        <v>0</v>
      </c>
      <c r="CG56" s="28">
        <v>0</v>
      </c>
      <c r="CH56" s="28">
        <v>0</v>
      </c>
      <c r="CI56" s="29">
        <v>12188815</v>
      </c>
    </row>
    <row r="57" spans="1:87" x14ac:dyDescent="0.25">
      <c r="A57" s="15" t="s">
        <v>95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3000000</v>
      </c>
      <c r="Y57" s="28">
        <v>3000000</v>
      </c>
      <c r="Z57" s="28">
        <v>0</v>
      </c>
      <c r="AA57" s="28">
        <v>6460855</v>
      </c>
      <c r="AB57" s="28">
        <v>6460855</v>
      </c>
      <c r="AC57" s="28">
        <v>9460855</v>
      </c>
      <c r="AD57" s="28">
        <v>0</v>
      </c>
      <c r="AE57" s="28">
        <f>3*1000000</f>
        <v>3000000</v>
      </c>
      <c r="AF57" s="28">
        <f>3*1000000</f>
        <v>3000000</v>
      </c>
      <c r="AG57" s="28">
        <f>1.831585*1000000</f>
        <v>1831585</v>
      </c>
      <c r="AH57" s="28">
        <f>24.627149*1000000</f>
        <v>24627149</v>
      </c>
      <c r="AI57" s="28">
        <f>26.458734*1000000</f>
        <v>26458734</v>
      </c>
      <c r="AJ57" s="28">
        <f>29.458734*1000000</f>
        <v>29458734</v>
      </c>
      <c r="AK57" s="28">
        <v>0</v>
      </c>
      <c r="AL57" s="28">
        <f>3.71989*1000000</f>
        <v>3719890</v>
      </c>
      <c r="AM57" s="28">
        <v>3719890</v>
      </c>
      <c r="AN57" s="28">
        <v>994118</v>
      </c>
      <c r="AO57" s="28">
        <v>17476794</v>
      </c>
      <c r="AP57" s="28">
        <v>18470912</v>
      </c>
      <c r="AQ57" s="28">
        <v>22190802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 s="28">
        <v>0</v>
      </c>
      <c r="BY57" s="28">
        <v>0</v>
      </c>
      <c r="BZ57" s="28">
        <v>0</v>
      </c>
      <c r="CA57" s="28">
        <v>0</v>
      </c>
      <c r="CB57" s="28">
        <v>0</v>
      </c>
      <c r="CC57" s="28">
        <v>0</v>
      </c>
      <c r="CD57" s="28">
        <v>0</v>
      </c>
      <c r="CE57" s="28">
        <v>0</v>
      </c>
      <c r="CF57" s="28">
        <v>0</v>
      </c>
      <c r="CG57" s="28">
        <v>0</v>
      </c>
      <c r="CH57" s="28">
        <v>0</v>
      </c>
      <c r="CI57" s="29">
        <v>0</v>
      </c>
    </row>
    <row r="58" spans="1:87" x14ac:dyDescent="0.25">
      <c r="A58" s="15" t="s">
        <v>96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1300000</v>
      </c>
      <c r="Y58" s="28">
        <v>1300000</v>
      </c>
      <c r="Z58" s="28">
        <v>0</v>
      </c>
      <c r="AA58" s="28">
        <v>10705950</v>
      </c>
      <c r="AB58" s="28">
        <v>10705950</v>
      </c>
      <c r="AC58" s="28">
        <v>12005950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>
        <v>0</v>
      </c>
      <c r="CB58" s="28">
        <v>0</v>
      </c>
      <c r="CC58" s="28">
        <v>0</v>
      </c>
      <c r="CD58" s="28">
        <v>0</v>
      </c>
      <c r="CE58" s="28">
        <v>0</v>
      </c>
      <c r="CF58" s="28">
        <v>0</v>
      </c>
      <c r="CG58" s="28">
        <v>0</v>
      </c>
      <c r="CH58" s="28">
        <v>0</v>
      </c>
      <c r="CI58" s="29">
        <v>0</v>
      </c>
    </row>
    <row r="59" spans="1:87" x14ac:dyDescent="0.25">
      <c r="A59" s="15" t="s">
        <v>97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8350000</v>
      </c>
      <c r="Y59" s="28">
        <v>8350000</v>
      </c>
      <c r="Z59" s="28">
        <v>0</v>
      </c>
      <c r="AA59" s="28">
        <v>0</v>
      </c>
      <c r="AB59" s="28">
        <v>0</v>
      </c>
      <c r="AC59" s="28">
        <v>8350000</v>
      </c>
      <c r="AD59" s="28">
        <v>0</v>
      </c>
      <c r="AE59" s="28">
        <v>0</v>
      </c>
      <c r="AF59" s="28">
        <v>0</v>
      </c>
      <c r="AG59" s="28">
        <v>0</v>
      </c>
      <c r="AH59" s="28">
        <v>0</v>
      </c>
      <c r="AI59" s="28">
        <v>0</v>
      </c>
      <c r="AJ59" s="28">
        <v>0</v>
      </c>
      <c r="AK59" s="28">
        <v>0</v>
      </c>
      <c r="AL59" s="28">
        <v>0</v>
      </c>
      <c r="AM59" s="28">
        <v>0</v>
      </c>
      <c r="AN59" s="28">
        <v>0</v>
      </c>
      <c r="AO59" s="28">
        <v>0</v>
      </c>
      <c r="AP59" s="28">
        <v>0</v>
      </c>
      <c r="AQ59" s="28">
        <v>0</v>
      </c>
      <c r="AR59" s="28">
        <v>0</v>
      </c>
      <c r="AS59" s="28">
        <v>0</v>
      </c>
      <c r="AT59" s="28">
        <v>0</v>
      </c>
      <c r="AU59" s="28">
        <v>0</v>
      </c>
      <c r="AV59" s="28">
        <v>0</v>
      </c>
      <c r="AW59" s="28">
        <v>0</v>
      </c>
      <c r="AX59" s="28">
        <v>0</v>
      </c>
      <c r="AY59" s="28">
        <v>0</v>
      </c>
      <c r="AZ59" s="28">
        <v>0</v>
      </c>
      <c r="BA59" s="28">
        <v>0</v>
      </c>
      <c r="BB59" s="28">
        <v>0</v>
      </c>
      <c r="BC59" s="28">
        <v>0</v>
      </c>
      <c r="BD59" s="28">
        <v>0</v>
      </c>
      <c r="BE59" s="28">
        <v>0</v>
      </c>
      <c r="BF59" s="28">
        <v>0</v>
      </c>
      <c r="BG59" s="28">
        <v>0</v>
      </c>
      <c r="BH59" s="28">
        <v>0</v>
      </c>
      <c r="BI59" s="28">
        <v>0</v>
      </c>
      <c r="BJ59" s="28">
        <v>0</v>
      </c>
      <c r="BK59" s="28">
        <v>0</v>
      </c>
      <c r="BL59" s="28">
        <v>0</v>
      </c>
      <c r="BM59" s="28">
        <v>0</v>
      </c>
      <c r="BN59" s="28">
        <v>0</v>
      </c>
      <c r="BO59" s="28">
        <v>0</v>
      </c>
      <c r="BP59" s="28">
        <v>0</v>
      </c>
      <c r="BQ59" s="28">
        <v>0</v>
      </c>
      <c r="BR59" s="28">
        <v>0</v>
      </c>
      <c r="BS59" s="28">
        <v>0</v>
      </c>
      <c r="BT59" s="28">
        <v>0</v>
      </c>
      <c r="BU59" s="28">
        <v>0</v>
      </c>
      <c r="BV59" s="28">
        <v>0</v>
      </c>
      <c r="BW59" s="28">
        <v>0</v>
      </c>
      <c r="BX59" s="28">
        <v>0</v>
      </c>
      <c r="BY59" s="28">
        <v>0</v>
      </c>
      <c r="BZ59" s="28">
        <v>0</v>
      </c>
      <c r="CA59" s="28">
        <v>0</v>
      </c>
      <c r="CB59" s="28">
        <v>0</v>
      </c>
      <c r="CC59" s="28">
        <v>0</v>
      </c>
      <c r="CD59" s="28">
        <v>0</v>
      </c>
      <c r="CE59" s="28">
        <v>0</v>
      </c>
      <c r="CF59" s="28">
        <v>0</v>
      </c>
      <c r="CG59" s="28">
        <v>0</v>
      </c>
      <c r="CH59" s="28">
        <v>0</v>
      </c>
      <c r="CI59" s="29">
        <v>0</v>
      </c>
    </row>
    <row r="60" spans="1:87" x14ac:dyDescent="0.25">
      <c r="A60" s="15" t="s">
        <v>43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3778610</v>
      </c>
      <c r="Y60" s="28">
        <v>3778610</v>
      </c>
      <c r="Z60" s="28">
        <v>0</v>
      </c>
      <c r="AA60" s="28">
        <v>29151447</v>
      </c>
      <c r="AB60" s="28">
        <v>29151447</v>
      </c>
      <c r="AC60" s="28">
        <v>32930057</v>
      </c>
      <c r="AD60" s="28">
        <v>0</v>
      </c>
      <c r="AE60" s="28">
        <f>1.934381*1000000</f>
        <v>1934381</v>
      </c>
      <c r="AF60" s="28">
        <f>1.934381*1000000</f>
        <v>1934381</v>
      </c>
      <c r="AG60" s="28">
        <v>0</v>
      </c>
      <c r="AH60" s="28">
        <f>12.0715*1000000</f>
        <v>12071500</v>
      </c>
      <c r="AI60" s="28">
        <f>12.0715*1000000</f>
        <v>12071500</v>
      </c>
      <c r="AJ60" s="28">
        <f>14.005881*1000000</f>
        <v>14005881</v>
      </c>
      <c r="AK60" s="28">
        <v>0</v>
      </c>
      <c r="AL60" s="28">
        <f>2.094596*1000000</f>
        <v>2094596.0000000002</v>
      </c>
      <c r="AM60" s="28">
        <v>2094596.0000000002</v>
      </c>
      <c r="AN60" s="28">
        <v>0</v>
      </c>
      <c r="AO60" s="28">
        <v>11062071</v>
      </c>
      <c r="AP60" s="28">
        <v>11062071</v>
      </c>
      <c r="AQ60" s="28">
        <v>13156667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710500</v>
      </c>
      <c r="BA60" s="28">
        <v>710500</v>
      </c>
      <c r="BB60" s="28">
        <v>0</v>
      </c>
      <c r="BC60" s="28">
        <v>18270000</v>
      </c>
      <c r="BD60" s="28">
        <v>18270000</v>
      </c>
      <c r="BE60" s="28">
        <v>18980500</v>
      </c>
      <c r="BF60" s="28">
        <v>0</v>
      </c>
      <c r="BG60" s="28">
        <v>1688999</v>
      </c>
      <c r="BH60" s="28">
        <v>1688999</v>
      </c>
      <c r="BI60" s="28">
        <v>0</v>
      </c>
      <c r="BJ60" s="28">
        <v>34564022</v>
      </c>
      <c r="BK60" s="28">
        <v>34564022</v>
      </c>
      <c r="BL60" s="28">
        <v>36253021</v>
      </c>
      <c r="BM60" s="28">
        <v>0</v>
      </c>
      <c r="BN60" s="28">
        <v>284311</v>
      </c>
      <c r="BO60" s="28">
        <v>284311</v>
      </c>
      <c r="BP60" s="28">
        <v>0</v>
      </c>
      <c r="BQ60" s="28">
        <v>19116430</v>
      </c>
      <c r="BR60" s="28">
        <v>19116430</v>
      </c>
      <c r="BS60" s="28">
        <v>19400741</v>
      </c>
      <c r="BT60" s="28">
        <v>0</v>
      </c>
      <c r="BU60" s="28">
        <v>326000</v>
      </c>
      <c r="BV60" s="28">
        <v>0</v>
      </c>
      <c r="BW60" s="28">
        <v>326000</v>
      </c>
      <c r="BX60" s="28">
        <v>0</v>
      </c>
      <c r="BY60" s="28">
        <v>23616000</v>
      </c>
      <c r="BZ60" s="28">
        <v>23616000</v>
      </c>
      <c r="CA60" s="28">
        <v>23942000</v>
      </c>
      <c r="CB60" s="28">
        <v>0</v>
      </c>
      <c r="CC60" s="28">
        <v>62123</v>
      </c>
      <c r="CD60" s="28">
        <v>0</v>
      </c>
      <c r="CE60" s="28">
        <v>62123</v>
      </c>
      <c r="CF60" s="28">
        <v>0</v>
      </c>
      <c r="CG60" s="28">
        <v>6316549</v>
      </c>
      <c r="CH60" s="28">
        <v>6316549</v>
      </c>
      <c r="CI60" s="29">
        <v>6378672</v>
      </c>
    </row>
    <row r="61" spans="1:87" x14ac:dyDescent="0.25">
      <c r="A61" s="15" t="s">
        <v>98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1000000</v>
      </c>
      <c r="Y61" s="28">
        <v>1000000</v>
      </c>
      <c r="Z61" s="28">
        <v>0</v>
      </c>
      <c r="AA61" s="28">
        <v>0</v>
      </c>
      <c r="AB61" s="28">
        <v>0</v>
      </c>
      <c r="AC61" s="28">
        <v>1000000</v>
      </c>
      <c r="AD61" s="28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0</v>
      </c>
      <c r="AJ61" s="28">
        <v>0</v>
      </c>
      <c r="AK61" s="28">
        <v>0</v>
      </c>
      <c r="AL61" s="28">
        <f>1*1000000</f>
        <v>1000000</v>
      </c>
      <c r="AM61" s="28">
        <v>1000000</v>
      </c>
      <c r="AN61" s="28">
        <v>0</v>
      </c>
      <c r="AO61" s="28">
        <v>0</v>
      </c>
      <c r="AP61" s="28">
        <v>0</v>
      </c>
      <c r="AQ61" s="28">
        <v>1000000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8">
        <v>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8">
        <v>0</v>
      </c>
      <c r="BH61" s="28">
        <v>0</v>
      </c>
      <c r="BI61" s="28">
        <v>0</v>
      </c>
      <c r="BJ61" s="28">
        <v>0</v>
      </c>
      <c r="BK61" s="28">
        <v>0</v>
      </c>
      <c r="BL61" s="28">
        <v>0</v>
      </c>
      <c r="BM61" s="28">
        <v>0</v>
      </c>
      <c r="BN61" s="28">
        <v>0</v>
      </c>
      <c r="BO61" s="28">
        <v>0</v>
      </c>
      <c r="BP61" s="28">
        <v>0</v>
      </c>
      <c r="BQ61" s="28">
        <v>0</v>
      </c>
      <c r="BR61" s="28">
        <v>0</v>
      </c>
      <c r="BS61" s="28">
        <v>0</v>
      </c>
      <c r="BT61" s="28">
        <v>0</v>
      </c>
      <c r="BU61" s="28">
        <v>0</v>
      </c>
      <c r="BV61" s="28">
        <v>0</v>
      </c>
      <c r="BW61" s="28">
        <v>0</v>
      </c>
      <c r="BX61" s="28">
        <v>0</v>
      </c>
      <c r="BY61" s="28">
        <v>0</v>
      </c>
      <c r="BZ61" s="28">
        <v>0</v>
      </c>
      <c r="CA61" s="28">
        <v>0</v>
      </c>
      <c r="CB61" s="28">
        <v>0</v>
      </c>
      <c r="CC61" s="28">
        <v>0</v>
      </c>
      <c r="CD61" s="28">
        <v>0</v>
      </c>
      <c r="CE61" s="28">
        <v>0</v>
      </c>
      <c r="CF61" s="28">
        <v>0</v>
      </c>
      <c r="CG61" s="28">
        <v>0</v>
      </c>
      <c r="CH61" s="28">
        <v>0</v>
      </c>
      <c r="CI61" s="29">
        <v>0</v>
      </c>
    </row>
    <row r="62" spans="1:87" x14ac:dyDescent="0.25">
      <c r="A62" s="15" t="s">
        <v>99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400000</v>
      </c>
      <c r="Y62" s="28">
        <v>400000</v>
      </c>
      <c r="Z62" s="28">
        <v>0</v>
      </c>
      <c r="AA62" s="28">
        <v>0</v>
      </c>
      <c r="AB62" s="28">
        <v>0</v>
      </c>
      <c r="AC62" s="28">
        <v>400000</v>
      </c>
      <c r="AD62" s="28">
        <v>0</v>
      </c>
      <c r="AE62" s="28">
        <v>0</v>
      </c>
      <c r="AF62" s="28">
        <v>0</v>
      </c>
      <c r="AG62" s="28">
        <f>35.681028*1000000</f>
        <v>35681028</v>
      </c>
      <c r="AH62" s="28">
        <f>8.193172*1000000</f>
        <v>8193172.0000000009</v>
      </c>
      <c r="AI62" s="28">
        <f>43.8742*1000000</f>
        <v>43874200</v>
      </c>
      <c r="AJ62" s="28">
        <f>43.8742*1000000</f>
        <v>43874200</v>
      </c>
      <c r="AK62" s="28">
        <v>0</v>
      </c>
      <c r="AL62" s="28">
        <v>0</v>
      </c>
      <c r="AM62" s="28">
        <v>0</v>
      </c>
      <c r="AN62" s="28">
        <v>28044775</v>
      </c>
      <c r="AO62" s="28">
        <v>0</v>
      </c>
      <c r="AP62" s="28">
        <v>28044775</v>
      </c>
      <c r="AQ62" s="28">
        <v>28044775</v>
      </c>
      <c r="AR62" s="28">
        <v>0</v>
      </c>
      <c r="AS62" s="28">
        <v>0</v>
      </c>
      <c r="AT62" s="28">
        <v>0</v>
      </c>
      <c r="AU62" s="28">
        <v>60137000</v>
      </c>
      <c r="AV62" s="28">
        <v>0</v>
      </c>
      <c r="AW62" s="28">
        <v>60137000</v>
      </c>
      <c r="AX62" s="28">
        <v>60137000</v>
      </c>
      <c r="AY62" s="28">
        <v>0</v>
      </c>
      <c r="AZ62" s="28">
        <v>0</v>
      </c>
      <c r="BA62" s="28">
        <v>0</v>
      </c>
      <c r="BB62" s="28">
        <v>23888550</v>
      </c>
      <c r="BC62" s="28">
        <v>0</v>
      </c>
      <c r="BD62" s="28">
        <v>23888550</v>
      </c>
      <c r="BE62" s="28">
        <v>23888550</v>
      </c>
      <c r="BF62" s="28">
        <v>0</v>
      </c>
      <c r="BG62" s="28">
        <v>0</v>
      </c>
      <c r="BH62" s="28">
        <v>0</v>
      </c>
      <c r="BI62" s="28">
        <v>0</v>
      </c>
      <c r="BJ62" s="28">
        <v>0</v>
      </c>
      <c r="BK62" s="28">
        <v>0</v>
      </c>
      <c r="BL62" s="28">
        <v>0</v>
      </c>
      <c r="BM62" s="28">
        <v>0</v>
      </c>
      <c r="BN62" s="28">
        <v>123680000</v>
      </c>
      <c r="BO62" s="28">
        <v>123680000</v>
      </c>
      <c r="BP62" s="28">
        <v>0</v>
      </c>
      <c r="BQ62" s="28">
        <v>0</v>
      </c>
      <c r="BR62" s="28">
        <v>0</v>
      </c>
      <c r="BS62" s="28">
        <v>123680000</v>
      </c>
      <c r="BT62" s="28">
        <v>0</v>
      </c>
      <c r="BU62" s="28">
        <v>138554111</v>
      </c>
      <c r="BV62" s="28">
        <v>0</v>
      </c>
      <c r="BW62" s="28">
        <v>138554111</v>
      </c>
      <c r="BX62" s="28">
        <v>0</v>
      </c>
      <c r="BY62" s="28">
        <v>0</v>
      </c>
      <c r="BZ62" s="28">
        <v>0</v>
      </c>
      <c r="CA62" s="28">
        <v>138554111</v>
      </c>
      <c r="CB62" s="28">
        <v>0</v>
      </c>
      <c r="CC62" s="28">
        <v>132114699</v>
      </c>
      <c r="CD62" s="28">
        <v>0</v>
      </c>
      <c r="CE62" s="28">
        <v>132114699</v>
      </c>
      <c r="CF62" s="28">
        <v>0</v>
      </c>
      <c r="CG62" s="28">
        <v>0</v>
      </c>
      <c r="CH62" s="28">
        <v>0</v>
      </c>
      <c r="CI62" s="29">
        <v>132114699</v>
      </c>
    </row>
    <row r="63" spans="1:87" x14ac:dyDescent="0.25">
      <c r="A63" s="15" t="s">
        <v>102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f>6.434802*1000000</f>
        <v>6434802</v>
      </c>
      <c r="AH63" s="28">
        <f>4.65663*1000000</f>
        <v>4656630</v>
      </c>
      <c r="AI63" s="28">
        <f>11.091432*1000000</f>
        <v>11091432</v>
      </c>
      <c r="AJ63" s="28">
        <f>11.091432*1000000</f>
        <v>11091432</v>
      </c>
      <c r="AK63" s="28">
        <v>0</v>
      </c>
      <c r="AL63" s="28">
        <v>0</v>
      </c>
      <c r="AM63" s="28">
        <v>0</v>
      </c>
      <c r="AN63" s="28">
        <v>9258111</v>
      </c>
      <c r="AO63" s="28">
        <v>13689368</v>
      </c>
      <c r="AP63" s="28">
        <v>22947479</v>
      </c>
      <c r="AQ63" s="28">
        <v>22947479</v>
      </c>
      <c r="AR63" s="28">
        <v>0</v>
      </c>
      <c r="AS63" s="28">
        <v>0</v>
      </c>
      <c r="AT63" s="28">
        <v>0</v>
      </c>
      <c r="AU63" s="28">
        <v>48704000</v>
      </c>
      <c r="AV63" s="28">
        <v>64293700</v>
      </c>
      <c r="AW63" s="28">
        <v>112997700</v>
      </c>
      <c r="AX63" s="28">
        <v>112997700</v>
      </c>
      <c r="AY63" s="28">
        <v>0</v>
      </c>
      <c r="AZ63" s="28">
        <v>0</v>
      </c>
      <c r="BA63" s="28">
        <v>0</v>
      </c>
      <c r="BB63" s="28">
        <v>9416000</v>
      </c>
      <c r="BC63" s="28">
        <v>94087441</v>
      </c>
      <c r="BD63" s="28">
        <v>103503441</v>
      </c>
      <c r="BE63" s="28">
        <v>103503441</v>
      </c>
      <c r="BF63" s="28">
        <v>0</v>
      </c>
      <c r="BG63" s="28">
        <v>0</v>
      </c>
      <c r="BH63" s="28">
        <v>0</v>
      </c>
      <c r="BI63" s="28">
        <v>0</v>
      </c>
      <c r="BJ63" s="28">
        <v>107822000</v>
      </c>
      <c r="BK63" s="28">
        <v>107822000</v>
      </c>
      <c r="BL63" s="28">
        <v>107822000</v>
      </c>
      <c r="BM63" s="28">
        <v>0</v>
      </c>
      <c r="BN63" s="28">
        <v>0</v>
      </c>
      <c r="BO63" s="28">
        <v>0</v>
      </c>
      <c r="BP63" s="28">
        <v>0</v>
      </c>
      <c r="BQ63" s="28">
        <v>116133585</v>
      </c>
      <c r="BR63" s="28">
        <v>116133585</v>
      </c>
      <c r="BS63" s="28">
        <v>116133585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80407089.61999999</v>
      </c>
      <c r="BZ63" s="28">
        <v>80407089.61999999</v>
      </c>
      <c r="CA63" s="28">
        <v>80407089.61999999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48015816.630000003</v>
      </c>
      <c r="CH63" s="28">
        <v>48015816.630000003</v>
      </c>
      <c r="CI63" s="29">
        <v>48015816.630000003</v>
      </c>
    </row>
    <row r="64" spans="1:87" x14ac:dyDescent="0.25">
      <c r="A64" s="15" t="s">
        <v>103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f>19.247155*1000000</f>
        <v>19247155</v>
      </c>
      <c r="AF64" s="28">
        <f>19.247155*1000000</f>
        <v>19247155</v>
      </c>
      <c r="AG64" s="28">
        <v>0</v>
      </c>
      <c r="AH64" s="28">
        <v>0</v>
      </c>
      <c r="AI64" s="28">
        <v>0</v>
      </c>
      <c r="AJ64" s="28">
        <f>19.247155*1000000</f>
        <v>19247155</v>
      </c>
      <c r="AK64" s="28">
        <v>0</v>
      </c>
      <c r="AL64" s="28">
        <f>20.843519*1000000</f>
        <v>20843519</v>
      </c>
      <c r="AM64" s="28">
        <v>20843519</v>
      </c>
      <c r="AN64" s="28">
        <v>0</v>
      </c>
      <c r="AO64" s="28">
        <v>0</v>
      </c>
      <c r="AP64" s="28">
        <v>0</v>
      </c>
      <c r="AQ64" s="28">
        <v>20843519</v>
      </c>
      <c r="AR64" s="28">
        <v>0</v>
      </c>
      <c r="AS64" s="28">
        <v>32746347.999999996</v>
      </c>
      <c r="AT64" s="28">
        <v>32746347.999999996</v>
      </c>
      <c r="AU64" s="28">
        <v>0</v>
      </c>
      <c r="AV64" s="28">
        <v>0</v>
      </c>
      <c r="AW64" s="28">
        <v>0</v>
      </c>
      <c r="AX64" s="28">
        <v>32746347.999999996</v>
      </c>
      <c r="AY64" s="28">
        <v>0</v>
      </c>
      <c r="AZ64" s="28">
        <v>32555107.999999996</v>
      </c>
      <c r="BA64" s="28">
        <v>32555107.999999996</v>
      </c>
      <c r="BB64" s="28">
        <v>0</v>
      </c>
      <c r="BC64" s="28">
        <v>0</v>
      </c>
      <c r="BD64" s="28">
        <v>0</v>
      </c>
      <c r="BE64" s="28">
        <v>32555107.999999996</v>
      </c>
      <c r="BF64" s="28">
        <v>0</v>
      </c>
      <c r="BG64" s="28">
        <v>46949648</v>
      </c>
      <c r="BH64" s="28">
        <v>46949648</v>
      </c>
      <c r="BI64" s="28">
        <v>0</v>
      </c>
      <c r="BJ64" s="28">
        <v>0</v>
      </c>
      <c r="BK64" s="28">
        <v>0</v>
      </c>
      <c r="BL64" s="28">
        <v>46949648</v>
      </c>
      <c r="BM64" s="28">
        <v>0</v>
      </c>
      <c r="BN64" s="28">
        <v>48698261</v>
      </c>
      <c r="BO64" s="28">
        <v>48698261</v>
      </c>
      <c r="BP64" s="28">
        <v>0</v>
      </c>
      <c r="BQ64" s="28">
        <v>0</v>
      </c>
      <c r="BR64" s="28">
        <v>0</v>
      </c>
      <c r="BS64" s="28">
        <v>48698261</v>
      </c>
      <c r="BT64" s="28">
        <v>0</v>
      </c>
      <c r="BU64" s="28">
        <v>58390500</v>
      </c>
      <c r="BV64" s="28">
        <v>0</v>
      </c>
      <c r="BW64" s="28">
        <v>58390500</v>
      </c>
      <c r="BX64" s="28">
        <v>0</v>
      </c>
      <c r="BY64" s="28">
        <v>0</v>
      </c>
      <c r="BZ64" s="28">
        <v>0</v>
      </c>
      <c r="CA64" s="28">
        <v>58390500</v>
      </c>
      <c r="CB64" s="28">
        <v>0</v>
      </c>
      <c r="CC64" s="28">
        <v>68489799</v>
      </c>
      <c r="CD64" s="28">
        <v>0</v>
      </c>
      <c r="CE64" s="28">
        <v>68489799</v>
      </c>
      <c r="CF64" s="28">
        <v>0</v>
      </c>
      <c r="CG64" s="28">
        <v>0</v>
      </c>
      <c r="CH64" s="28">
        <v>0</v>
      </c>
      <c r="CI64" s="29">
        <v>68489799</v>
      </c>
    </row>
    <row r="65" spans="1:87" x14ac:dyDescent="0.25">
      <c r="A65" s="15" t="s">
        <v>104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f>24.192826*1000000</f>
        <v>24192826</v>
      </c>
      <c r="AF65" s="28">
        <f>24.192826*1000000</f>
        <v>24192826</v>
      </c>
      <c r="AG65" s="28">
        <v>0</v>
      </c>
      <c r="AH65" s="28">
        <v>0</v>
      </c>
      <c r="AI65" s="28">
        <v>0</v>
      </c>
      <c r="AJ65" s="28">
        <f>24.192826*1000000</f>
        <v>24192826</v>
      </c>
      <c r="AK65" s="28">
        <v>0</v>
      </c>
      <c r="AL65" s="28">
        <v>0</v>
      </c>
      <c r="AM65" s="28">
        <v>0</v>
      </c>
      <c r="AN65" s="28">
        <v>0</v>
      </c>
      <c r="AO65" s="28">
        <v>0</v>
      </c>
      <c r="AP65" s="28">
        <v>0</v>
      </c>
      <c r="AQ65" s="28">
        <v>0</v>
      </c>
      <c r="AR65" s="28">
        <v>0</v>
      </c>
      <c r="AS65" s="28">
        <v>0</v>
      </c>
      <c r="AT65" s="28">
        <v>0</v>
      </c>
      <c r="AU65" s="28">
        <v>0</v>
      </c>
      <c r="AV65" s="28">
        <v>0</v>
      </c>
      <c r="AW65" s="28">
        <v>0</v>
      </c>
      <c r="AX65" s="28">
        <v>0</v>
      </c>
      <c r="AY65" s="28">
        <v>0</v>
      </c>
      <c r="AZ65" s="28">
        <v>0</v>
      </c>
      <c r="BA65" s="28">
        <v>0</v>
      </c>
      <c r="BB65" s="28">
        <v>0</v>
      </c>
      <c r="BC65" s="28">
        <v>0</v>
      </c>
      <c r="BD65" s="28">
        <v>0</v>
      </c>
      <c r="BE65" s="28">
        <v>0</v>
      </c>
      <c r="BF65" s="28">
        <v>0</v>
      </c>
      <c r="BG65" s="28">
        <v>0</v>
      </c>
      <c r="BH65" s="28">
        <v>0</v>
      </c>
      <c r="BI65" s="28">
        <v>0</v>
      </c>
      <c r="BJ65" s="28">
        <v>0</v>
      </c>
      <c r="BK65" s="28">
        <v>0</v>
      </c>
      <c r="BL65" s="28">
        <v>0</v>
      </c>
      <c r="BM65" s="28">
        <v>0</v>
      </c>
      <c r="BN65" s="28">
        <v>0</v>
      </c>
      <c r="BO65" s="28">
        <v>0</v>
      </c>
      <c r="BP65" s="28">
        <v>0</v>
      </c>
      <c r="BQ65" s="28">
        <v>0</v>
      </c>
      <c r="BR65" s="28">
        <v>0</v>
      </c>
      <c r="BS65" s="28">
        <v>0</v>
      </c>
      <c r="BT65" s="28">
        <v>0</v>
      </c>
      <c r="BU65" s="28">
        <v>0</v>
      </c>
      <c r="BV65" s="28">
        <v>0</v>
      </c>
      <c r="BW65" s="28">
        <v>0</v>
      </c>
      <c r="BX65" s="28">
        <v>0</v>
      </c>
      <c r="BY65" s="28">
        <v>0</v>
      </c>
      <c r="BZ65" s="28">
        <v>0</v>
      </c>
      <c r="CA65" s="28">
        <v>0</v>
      </c>
      <c r="CB65" s="28">
        <v>0</v>
      </c>
      <c r="CC65" s="28">
        <v>0</v>
      </c>
      <c r="CD65" s="28">
        <v>0</v>
      </c>
      <c r="CE65" s="28">
        <v>0</v>
      </c>
      <c r="CF65" s="28">
        <v>0</v>
      </c>
      <c r="CG65" s="28">
        <v>0</v>
      </c>
      <c r="CH65" s="28">
        <v>0</v>
      </c>
      <c r="CI65" s="29">
        <v>0</v>
      </c>
    </row>
    <row r="66" spans="1:87" x14ac:dyDescent="0.25">
      <c r="A66" s="15" t="s">
        <v>105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f>3.128977*1000000</f>
        <v>3128977</v>
      </c>
      <c r="AI66" s="28">
        <f>3.128977*1000000</f>
        <v>3128977</v>
      </c>
      <c r="AJ66" s="28">
        <f>3.128977*1000000</f>
        <v>3128977</v>
      </c>
      <c r="AK66" s="28">
        <v>0</v>
      </c>
      <c r="AL66" s="28">
        <f>0.244884*1000000</f>
        <v>244884</v>
      </c>
      <c r="AM66" s="28">
        <v>244884</v>
      </c>
      <c r="AN66" s="28">
        <v>376000</v>
      </c>
      <c r="AO66" s="28">
        <v>35010704</v>
      </c>
      <c r="AP66" s="28">
        <v>35386704</v>
      </c>
      <c r="AQ66" s="28">
        <v>35631588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9">
        <v>0</v>
      </c>
    </row>
    <row r="67" spans="1:87" x14ac:dyDescent="0.25">
      <c r="A67" s="15" t="s">
        <v>106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f>2.29646*1000000</f>
        <v>2296460</v>
      </c>
      <c r="AI67" s="28">
        <f>2.29646*1000000</f>
        <v>2296460</v>
      </c>
      <c r="AJ67" s="28">
        <f>2.29646*1000000</f>
        <v>2296460</v>
      </c>
      <c r="AK67" s="28">
        <v>0</v>
      </c>
      <c r="AL67" s="28">
        <f>0.93472*1000000</f>
        <v>934720</v>
      </c>
      <c r="AM67" s="28">
        <v>934720</v>
      </c>
      <c r="AN67" s="28">
        <v>0</v>
      </c>
      <c r="AO67" s="28">
        <v>8432683</v>
      </c>
      <c r="AP67" s="28">
        <v>8432683</v>
      </c>
      <c r="AQ67" s="28">
        <v>9367403</v>
      </c>
      <c r="AR67" s="28">
        <v>0</v>
      </c>
      <c r="AS67" s="28">
        <v>58200</v>
      </c>
      <c r="AT67" s="28">
        <v>58200</v>
      </c>
      <c r="AU67" s="28">
        <v>0</v>
      </c>
      <c r="AV67" s="28">
        <v>11319180</v>
      </c>
      <c r="AW67" s="28">
        <v>11319180</v>
      </c>
      <c r="AX67" s="28">
        <v>11377380</v>
      </c>
      <c r="AY67" s="28">
        <v>0</v>
      </c>
      <c r="AZ67" s="28">
        <v>61000</v>
      </c>
      <c r="BA67" s="28">
        <v>61000</v>
      </c>
      <c r="BB67" s="28">
        <v>0</v>
      </c>
      <c r="BC67" s="28">
        <v>13200000</v>
      </c>
      <c r="BD67" s="28">
        <v>13200000</v>
      </c>
      <c r="BE67" s="28">
        <v>13261000</v>
      </c>
      <c r="BF67" s="28">
        <v>0</v>
      </c>
      <c r="BG67" s="28">
        <v>0</v>
      </c>
      <c r="BH67" s="28">
        <v>0</v>
      </c>
      <c r="BI67" s="28">
        <v>0</v>
      </c>
      <c r="BJ67" s="28">
        <v>0</v>
      </c>
      <c r="BK67" s="28">
        <v>0</v>
      </c>
      <c r="BL67" s="28">
        <v>0</v>
      </c>
      <c r="BM67" s="28">
        <v>0</v>
      </c>
      <c r="BN67" s="28">
        <v>0</v>
      </c>
      <c r="BO67" s="28">
        <v>0</v>
      </c>
      <c r="BP67" s="28">
        <v>0</v>
      </c>
      <c r="BQ67" s="28">
        <v>0</v>
      </c>
      <c r="BR67" s="28">
        <v>0</v>
      </c>
      <c r="BS67" s="28">
        <v>0</v>
      </c>
      <c r="BT67" s="28">
        <v>0</v>
      </c>
      <c r="BU67" s="28">
        <v>0</v>
      </c>
      <c r="BV67" s="28">
        <v>0</v>
      </c>
      <c r="BW67" s="28">
        <v>0</v>
      </c>
      <c r="BX67" s="28">
        <v>0</v>
      </c>
      <c r="BY67" s="28">
        <v>0</v>
      </c>
      <c r="BZ67" s="28">
        <v>0</v>
      </c>
      <c r="CA67" s="28">
        <v>0</v>
      </c>
      <c r="CB67" s="28">
        <v>0</v>
      </c>
      <c r="CC67" s="28">
        <v>0</v>
      </c>
      <c r="CD67" s="28">
        <v>0</v>
      </c>
      <c r="CE67" s="28">
        <v>0</v>
      </c>
      <c r="CF67" s="28">
        <v>0</v>
      </c>
      <c r="CG67" s="28">
        <v>0</v>
      </c>
      <c r="CH67" s="28">
        <v>0</v>
      </c>
      <c r="CI67" s="29">
        <v>0</v>
      </c>
    </row>
    <row r="68" spans="1:87" x14ac:dyDescent="0.25">
      <c r="A68" s="15" t="s">
        <v>107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f>10.1475*1000000</f>
        <v>10147500</v>
      </c>
      <c r="AH68" s="28">
        <v>0</v>
      </c>
      <c r="AI68" s="28">
        <f>10.1475*1000000</f>
        <v>10147500</v>
      </c>
      <c r="AJ68" s="28">
        <f>10.1475*1000000</f>
        <v>10147500</v>
      </c>
      <c r="AK68" s="28">
        <v>0</v>
      </c>
      <c r="AL68" s="28">
        <v>0</v>
      </c>
      <c r="AM68" s="28">
        <v>0</v>
      </c>
      <c r="AN68" s="28">
        <v>16000000</v>
      </c>
      <c r="AO68" s="28">
        <v>0</v>
      </c>
      <c r="AP68" s="28">
        <v>16000000</v>
      </c>
      <c r="AQ68" s="28">
        <v>16000000</v>
      </c>
      <c r="AR68" s="28">
        <v>0</v>
      </c>
      <c r="AS68" s="28">
        <v>0</v>
      </c>
      <c r="AT68" s="28">
        <v>0</v>
      </c>
      <c r="AU68" s="28">
        <v>11986269</v>
      </c>
      <c r="AV68" s="28">
        <v>0</v>
      </c>
      <c r="AW68" s="28">
        <v>11986269</v>
      </c>
      <c r="AX68" s="28">
        <v>11986269</v>
      </c>
      <c r="AY68" s="28">
        <v>0</v>
      </c>
      <c r="AZ68" s="28">
        <v>0</v>
      </c>
      <c r="BA68" s="28">
        <v>0</v>
      </c>
      <c r="BB68" s="28">
        <v>25000000</v>
      </c>
      <c r="BC68" s="28">
        <v>0</v>
      </c>
      <c r="BD68" s="28">
        <v>25000000</v>
      </c>
      <c r="BE68" s="28">
        <v>25000000</v>
      </c>
      <c r="BF68" s="28">
        <v>0</v>
      </c>
      <c r="BG68" s="28">
        <v>0</v>
      </c>
      <c r="BH68" s="28">
        <v>0</v>
      </c>
      <c r="BI68" s="28">
        <v>0</v>
      </c>
      <c r="BJ68" s="28">
        <v>0</v>
      </c>
      <c r="BK68" s="28">
        <v>0</v>
      </c>
      <c r="BL68" s="28">
        <v>0</v>
      </c>
      <c r="BM68" s="28">
        <v>0</v>
      </c>
      <c r="BN68" s="28">
        <v>0</v>
      </c>
      <c r="BO68" s="28">
        <v>0</v>
      </c>
      <c r="BP68" s="28">
        <v>0</v>
      </c>
      <c r="BQ68" s="28">
        <v>0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28">
        <v>0</v>
      </c>
      <c r="BY68" s="28">
        <v>0</v>
      </c>
      <c r="BZ68" s="28">
        <v>0</v>
      </c>
      <c r="CA68" s="28">
        <v>0</v>
      </c>
      <c r="CB68" s="28">
        <v>0</v>
      </c>
      <c r="CC68" s="28">
        <v>0</v>
      </c>
      <c r="CD68" s="28">
        <v>0</v>
      </c>
      <c r="CE68" s="28">
        <v>0</v>
      </c>
      <c r="CF68" s="28">
        <v>0</v>
      </c>
      <c r="CG68" s="28">
        <v>0</v>
      </c>
      <c r="CH68" s="28">
        <v>0</v>
      </c>
      <c r="CI68" s="29">
        <v>0</v>
      </c>
    </row>
    <row r="69" spans="1:87" x14ac:dyDescent="0.25">
      <c r="A69" s="15" t="s">
        <v>100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f>0.695151*1000000</f>
        <v>695151</v>
      </c>
      <c r="AF69" s="28">
        <f>0.695151*1000000</f>
        <v>695151</v>
      </c>
      <c r="AG69" s="28">
        <f>4.387665*1000000</f>
        <v>4387665</v>
      </c>
      <c r="AH69" s="28">
        <f>16.577435*1000000</f>
        <v>16577435.000000002</v>
      </c>
      <c r="AI69" s="28">
        <f>20.9651*1000000</f>
        <v>20965100</v>
      </c>
      <c r="AJ69" s="28">
        <f>21.660251*1000000</f>
        <v>21660251</v>
      </c>
      <c r="AK69" s="28">
        <v>0</v>
      </c>
      <c r="AL69" s="28">
        <v>0</v>
      </c>
      <c r="AM69" s="28">
        <v>0</v>
      </c>
      <c r="AN69" s="28">
        <v>0</v>
      </c>
      <c r="AO69" s="28">
        <v>10387878</v>
      </c>
      <c r="AP69" s="28">
        <v>10387878</v>
      </c>
      <c r="AQ69" s="28">
        <v>10387878</v>
      </c>
      <c r="AR69" s="28">
        <v>0</v>
      </c>
      <c r="AS69" s="28">
        <v>0</v>
      </c>
      <c r="AT69" s="28">
        <v>0</v>
      </c>
      <c r="AU69" s="28">
        <v>0</v>
      </c>
      <c r="AV69" s="28">
        <v>41322000</v>
      </c>
      <c r="AW69" s="28">
        <v>41322000</v>
      </c>
      <c r="AX69" s="28">
        <v>41322000</v>
      </c>
      <c r="AY69" s="28">
        <v>0</v>
      </c>
      <c r="AZ69" s="28">
        <v>0</v>
      </c>
      <c r="BA69" s="28">
        <v>0</v>
      </c>
      <c r="BB69" s="28">
        <v>0</v>
      </c>
      <c r="BC69" s="28">
        <v>39236050</v>
      </c>
      <c r="BD69" s="28">
        <v>39236050</v>
      </c>
      <c r="BE69" s="28">
        <v>39236050</v>
      </c>
      <c r="BF69" s="28">
        <v>0</v>
      </c>
      <c r="BG69" s="28">
        <v>0</v>
      </c>
      <c r="BH69" s="28">
        <v>0</v>
      </c>
      <c r="BI69" s="28">
        <v>0</v>
      </c>
      <c r="BJ69" s="28">
        <v>50188415</v>
      </c>
      <c r="BK69" s="28">
        <v>50188415</v>
      </c>
      <c r="BL69" s="28">
        <v>50188415</v>
      </c>
      <c r="BM69" s="28">
        <v>0</v>
      </c>
      <c r="BN69" s="28">
        <v>0</v>
      </c>
      <c r="BO69" s="28">
        <v>0</v>
      </c>
      <c r="BP69" s="28">
        <v>0</v>
      </c>
      <c r="BQ69" s="28">
        <v>74809497</v>
      </c>
      <c r="BR69" s="28">
        <v>74809497</v>
      </c>
      <c r="BS69" s="28">
        <v>74809497</v>
      </c>
      <c r="BT69" s="28">
        <v>0</v>
      </c>
      <c r="BU69" s="28">
        <v>0</v>
      </c>
      <c r="BV69" s="28">
        <v>0</v>
      </c>
      <c r="BW69" s="28">
        <v>0</v>
      </c>
      <c r="BX69" s="28">
        <v>0</v>
      </c>
      <c r="BY69" s="28">
        <v>39795314.240000002</v>
      </c>
      <c r="BZ69" s="28">
        <v>39795314.240000002</v>
      </c>
      <c r="CA69" s="28">
        <v>39795314.240000002</v>
      </c>
      <c r="CB69" s="28">
        <v>1637973.5799999998</v>
      </c>
      <c r="CC69" s="28">
        <v>0</v>
      </c>
      <c r="CD69" s="28">
        <v>0</v>
      </c>
      <c r="CE69" s="28">
        <v>1637973.5799999998</v>
      </c>
      <c r="CF69" s="28">
        <v>1557012.0999999999</v>
      </c>
      <c r="CG69" s="28">
        <v>15478401.789999999</v>
      </c>
      <c r="CH69" s="28">
        <v>17035413.890000001</v>
      </c>
      <c r="CI69" s="29">
        <v>18673387.470000003</v>
      </c>
    </row>
    <row r="70" spans="1:87" x14ac:dyDescent="0.25">
      <c r="A70" s="15" t="s">
        <v>109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v>0</v>
      </c>
      <c r="AJ70" s="28">
        <v>0</v>
      </c>
      <c r="AK70" s="28">
        <v>0</v>
      </c>
      <c r="AL70" s="28">
        <v>0</v>
      </c>
      <c r="AM70" s="28">
        <v>0</v>
      </c>
      <c r="AN70" s="28">
        <v>485000</v>
      </c>
      <c r="AO70" s="28">
        <v>0</v>
      </c>
      <c r="AP70" s="28">
        <v>485000</v>
      </c>
      <c r="AQ70" s="28">
        <v>485000</v>
      </c>
      <c r="AR70" s="28">
        <v>0</v>
      </c>
      <c r="AS70" s="28">
        <v>0</v>
      </c>
      <c r="AT70" s="28">
        <v>0</v>
      </c>
      <c r="AU70" s="28">
        <v>0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8">
        <v>0</v>
      </c>
      <c r="BH70" s="28">
        <v>0</v>
      </c>
      <c r="BI70" s="28">
        <v>0</v>
      </c>
      <c r="BJ70" s="28">
        <v>0</v>
      </c>
      <c r="BK70" s="28">
        <v>0</v>
      </c>
      <c r="BL70" s="28">
        <v>0</v>
      </c>
      <c r="BM70" s="28">
        <v>0</v>
      </c>
      <c r="BN70" s="28">
        <v>0</v>
      </c>
      <c r="BO70" s="28">
        <v>0</v>
      </c>
      <c r="BP70" s="28">
        <v>0</v>
      </c>
      <c r="BQ70" s="28">
        <v>0</v>
      </c>
      <c r="BR70" s="28">
        <v>0</v>
      </c>
      <c r="BS70" s="28">
        <v>0</v>
      </c>
      <c r="BT70" s="28">
        <v>0</v>
      </c>
      <c r="BU70" s="28">
        <v>0</v>
      </c>
      <c r="BV70" s="28">
        <v>0</v>
      </c>
      <c r="BW70" s="28">
        <v>0</v>
      </c>
      <c r="BX70" s="28">
        <v>0</v>
      </c>
      <c r="BY70" s="28">
        <v>0</v>
      </c>
      <c r="BZ70" s="28">
        <v>0</v>
      </c>
      <c r="CA70" s="28">
        <v>0</v>
      </c>
      <c r="CB70" s="28">
        <v>0</v>
      </c>
      <c r="CC70" s="28">
        <v>0</v>
      </c>
      <c r="CD70" s="28">
        <v>0</v>
      </c>
      <c r="CE70" s="28">
        <v>0</v>
      </c>
      <c r="CF70" s="28">
        <v>0</v>
      </c>
      <c r="CG70" s="28">
        <v>0</v>
      </c>
      <c r="CH70" s="28">
        <v>0</v>
      </c>
      <c r="CI70" s="29">
        <v>0</v>
      </c>
    </row>
    <row r="71" spans="1:87" x14ac:dyDescent="0.25">
      <c r="A71" s="15" t="s">
        <v>110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28">
        <v>0</v>
      </c>
      <c r="AJ71" s="28">
        <v>0</v>
      </c>
      <c r="AK71" s="28">
        <v>0</v>
      </c>
      <c r="AL71" s="28">
        <f>1*1000000</f>
        <v>1000000</v>
      </c>
      <c r="AM71" s="28">
        <v>1000000</v>
      </c>
      <c r="AN71" s="28">
        <v>0</v>
      </c>
      <c r="AO71" s="28">
        <v>0</v>
      </c>
      <c r="AP71" s="28">
        <v>0</v>
      </c>
      <c r="AQ71" s="28">
        <v>1000000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8">
        <v>0</v>
      </c>
      <c r="BH71" s="28">
        <v>0</v>
      </c>
      <c r="BI71" s="28">
        <v>0</v>
      </c>
      <c r="BJ71" s="28">
        <v>0</v>
      </c>
      <c r="BK71" s="28">
        <v>0</v>
      </c>
      <c r="BL71" s="28">
        <v>0</v>
      </c>
      <c r="BM71" s="28">
        <v>0</v>
      </c>
      <c r="BN71" s="28">
        <v>0</v>
      </c>
      <c r="BO71" s="28">
        <v>0</v>
      </c>
      <c r="BP71" s="28">
        <v>0</v>
      </c>
      <c r="BQ71" s="28">
        <v>0</v>
      </c>
      <c r="BR71" s="28">
        <v>0</v>
      </c>
      <c r="BS71" s="28">
        <v>0</v>
      </c>
      <c r="BT71" s="28">
        <v>0</v>
      </c>
      <c r="BU71" s="28">
        <v>0</v>
      </c>
      <c r="BV71" s="28">
        <v>0</v>
      </c>
      <c r="BW71" s="28">
        <v>0</v>
      </c>
      <c r="BX71" s="28">
        <v>0</v>
      </c>
      <c r="BY71" s="28">
        <v>0</v>
      </c>
      <c r="BZ71" s="28">
        <v>0</v>
      </c>
      <c r="CA71" s="28">
        <v>0</v>
      </c>
      <c r="CB71" s="28">
        <v>0</v>
      </c>
      <c r="CC71" s="28">
        <v>0</v>
      </c>
      <c r="CD71" s="28">
        <v>0</v>
      </c>
      <c r="CE71" s="28">
        <v>0</v>
      </c>
      <c r="CF71" s="28">
        <v>0</v>
      </c>
      <c r="CG71" s="28">
        <v>0</v>
      </c>
      <c r="CH71" s="28">
        <v>0</v>
      </c>
      <c r="CI71" s="29">
        <v>0</v>
      </c>
    </row>
    <row r="72" spans="1:87" x14ac:dyDescent="0.25">
      <c r="A72" s="15" t="s">
        <v>113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0</v>
      </c>
      <c r="BI72" s="28">
        <v>0</v>
      </c>
      <c r="BJ72" s="28">
        <v>0</v>
      </c>
      <c r="BK72" s="28">
        <v>0</v>
      </c>
      <c r="BL72" s="28">
        <v>0</v>
      </c>
      <c r="BM72" s="28">
        <v>0</v>
      </c>
      <c r="BN72" s="28">
        <v>26300000</v>
      </c>
      <c r="BO72" s="28">
        <v>26300000</v>
      </c>
      <c r="BP72" s="28">
        <v>0</v>
      </c>
      <c r="BQ72" s="28">
        <v>0</v>
      </c>
      <c r="BR72" s="28">
        <v>0</v>
      </c>
      <c r="BS72" s="28">
        <v>26300000</v>
      </c>
      <c r="BT72" s="28">
        <v>0</v>
      </c>
      <c r="BU72" s="28">
        <v>0</v>
      </c>
      <c r="BV72" s="28">
        <v>0</v>
      </c>
      <c r="BW72" s="28">
        <v>0</v>
      </c>
      <c r="BX72" s="28">
        <v>0</v>
      </c>
      <c r="BY72" s="28">
        <v>0</v>
      </c>
      <c r="BZ72" s="28">
        <v>0</v>
      </c>
      <c r="CA72" s="28">
        <v>0</v>
      </c>
      <c r="CB72" s="28">
        <v>0</v>
      </c>
      <c r="CC72" s="28">
        <v>0</v>
      </c>
      <c r="CD72" s="28">
        <v>0</v>
      </c>
      <c r="CE72" s="28">
        <v>0</v>
      </c>
      <c r="CF72" s="28">
        <v>0</v>
      </c>
      <c r="CG72" s="28">
        <v>0</v>
      </c>
      <c r="CH72" s="28">
        <v>0</v>
      </c>
      <c r="CI72" s="29">
        <v>0</v>
      </c>
    </row>
    <row r="73" spans="1:87" x14ac:dyDescent="0.25">
      <c r="A73" s="15" t="s">
        <v>114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8">
        <v>0</v>
      </c>
      <c r="AT73" s="28">
        <v>0</v>
      </c>
      <c r="AU73" s="28">
        <v>0</v>
      </c>
      <c r="AV73" s="28">
        <v>0</v>
      </c>
      <c r="AW73" s="28">
        <v>0</v>
      </c>
      <c r="AX73" s="28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28">
        <v>0</v>
      </c>
      <c r="BF73" s="28">
        <v>0</v>
      </c>
      <c r="BG73" s="28">
        <v>0</v>
      </c>
      <c r="BH73" s="28">
        <v>0</v>
      </c>
      <c r="BI73" s="28">
        <v>0</v>
      </c>
      <c r="BJ73" s="28">
        <v>0</v>
      </c>
      <c r="BK73" s="28">
        <v>0</v>
      </c>
      <c r="BL73" s="28">
        <v>0</v>
      </c>
      <c r="BM73" s="28">
        <v>0</v>
      </c>
      <c r="BN73" s="28">
        <v>12900000</v>
      </c>
      <c r="BO73" s="28">
        <v>12900000</v>
      </c>
      <c r="BP73" s="28">
        <v>0</v>
      </c>
      <c r="BQ73" s="28">
        <v>0</v>
      </c>
      <c r="BR73" s="28">
        <v>0</v>
      </c>
      <c r="BS73" s="28">
        <v>12900000</v>
      </c>
      <c r="BT73" s="28">
        <v>0</v>
      </c>
      <c r="BU73" s="28">
        <v>0</v>
      </c>
      <c r="BV73" s="28">
        <v>0</v>
      </c>
      <c r="BW73" s="28">
        <v>0</v>
      </c>
      <c r="BX73" s="28">
        <v>0</v>
      </c>
      <c r="BY73" s="28">
        <v>0</v>
      </c>
      <c r="BZ73" s="28">
        <v>0</v>
      </c>
      <c r="CA73" s="28">
        <v>0</v>
      </c>
      <c r="CB73" s="28">
        <v>0</v>
      </c>
      <c r="CC73" s="28">
        <v>0</v>
      </c>
      <c r="CD73" s="28">
        <v>0</v>
      </c>
      <c r="CE73" s="28">
        <v>0</v>
      </c>
      <c r="CF73" s="28">
        <v>0</v>
      </c>
      <c r="CG73" s="28">
        <v>0</v>
      </c>
      <c r="CH73" s="28">
        <v>0</v>
      </c>
      <c r="CI73" s="29">
        <v>0</v>
      </c>
    </row>
    <row r="74" spans="1:87" x14ac:dyDescent="0.25">
      <c r="A74" s="15" t="s">
        <v>115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28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8">
        <v>0</v>
      </c>
      <c r="AT74" s="28">
        <v>0</v>
      </c>
      <c r="AU74" s="28">
        <v>0</v>
      </c>
      <c r="AV74" s="28">
        <v>0</v>
      </c>
      <c r="AW74" s="28">
        <v>0</v>
      </c>
      <c r="AX74" s="28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  <c r="BE74" s="28">
        <v>0</v>
      </c>
      <c r="BF74" s="28">
        <v>0</v>
      </c>
      <c r="BG74" s="28">
        <v>0</v>
      </c>
      <c r="BH74" s="28">
        <v>0</v>
      </c>
      <c r="BI74" s="28">
        <v>0</v>
      </c>
      <c r="BJ74" s="28">
        <v>0</v>
      </c>
      <c r="BK74" s="28">
        <v>0</v>
      </c>
      <c r="BL74" s="28">
        <v>0</v>
      </c>
      <c r="BM74" s="28">
        <v>0</v>
      </c>
      <c r="BN74" s="28">
        <v>20000000</v>
      </c>
      <c r="BO74" s="28">
        <v>20000000</v>
      </c>
      <c r="BP74" s="28">
        <v>0</v>
      </c>
      <c r="BQ74" s="28">
        <v>0</v>
      </c>
      <c r="BR74" s="28">
        <v>0</v>
      </c>
      <c r="BS74" s="28">
        <v>20000000</v>
      </c>
      <c r="BT74" s="28">
        <v>0</v>
      </c>
      <c r="BU74" s="28">
        <v>0</v>
      </c>
      <c r="BV74" s="28">
        <v>0</v>
      </c>
      <c r="BW74" s="28">
        <v>0</v>
      </c>
      <c r="BX74" s="28">
        <v>0</v>
      </c>
      <c r="BY74" s="28">
        <v>0</v>
      </c>
      <c r="BZ74" s="28">
        <v>0</v>
      </c>
      <c r="CA74" s="28">
        <v>0</v>
      </c>
      <c r="CB74" s="28">
        <v>0</v>
      </c>
      <c r="CC74" s="28">
        <v>0</v>
      </c>
      <c r="CD74" s="28">
        <v>0</v>
      </c>
      <c r="CE74" s="28">
        <v>0</v>
      </c>
      <c r="CF74" s="28">
        <v>0</v>
      </c>
      <c r="CG74" s="28">
        <v>0</v>
      </c>
      <c r="CH74" s="28">
        <v>0</v>
      </c>
      <c r="CI74" s="29">
        <v>0</v>
      </c>
    </row>
    <row r="75" spans="1:87" x14ac:dyDescent="0.25">
      <c r="A75" s="15" t="s">
        <v>116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8">
        <v>0</v>
      </c>
      <c r="AT75" s="28">
        <v>0</v>
      </c>
      <c r="AU75" s="28">
        <v>0</v>
      </c>
      <c r="AV75" s="28">
        <v>0</v>
      </c>
      <c r="AW75" s="28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  <c r="BE75" s="28">
        <v>0</v>
      </c>
      <c r="BF75" s="28">
        <v>0</v>
      </c>
      <c r="BG75" s="28">
        <v>0</v>
      </c>
      <c r="BH75" s="28">
        <v>0</v>
      </c>
      <c r="BI75" s="28">
        <v>0</v>
      </c>
      <c r="BJ75" s="28">
        <v>0</v>
      </c>
      <c r="BK75" s="28">
        <v>0</v>
      </c>
      <c r="BL75" s="28">
        <v>0</v>
      </c>
      <c r="BM75" s="28">
        <v>0</v>
      </c>
      <c r="BN75" s="28">
        <v>11020000</v>
      </c>
      <c r="BO75" s="28">
        <v>11020000</v>
      </c>
      <c r="BP75" s="28">
        <v>0</v>
      </c>
      <c r="BQ75" s="28">
        <v>0</v>
      </c>
      <c r="BR75" s="28">
        <v>0</v>
      </c>
      <c r="BS75" s="28">
        <v>11020000</v>
      </c>
      <c r="BT75" s="28">
        <v>0</v>
      </c>
      <c r="BU75" s="28">
        <v>0</v>
      </c>
      <c r="BV75" s="28">
        <v>0</v>
      </c>
      <c r="BW75" s="28">
        <v>0</v>
      </c>
      <c r="BX75" s="28">
        <v>0</v>
      </c>
      <c r="BY75" s="28">
        <v>0</v>
      </c>
      <c r="BZ75" s="28">
        <v>0</v>
      </c>
      <c r="CA75" s="28">
        <v>0</v>
      </c>
      <c r="CB75" s="28">
        <v>0</v>
      </c>
      <c r="CC75" s="28">
        <v>0</v>
      </c>
      <c r="CD75" s="28">
        <v>0</v>
      </c>
      <c r="CE75" s="28">
        <v>0</v>
      </c>
      <c r="CF75" s="28">
        <v>0</v>
      </c>
      <c r="CG75" s="28">
        <v>0</v>
      </c>
      <c r="CH75" s="28">
        <v>0</v>
      </c>
      <c r="CI75" s="29">
        <v>0</v>
      </c>
    </row>
    <row r="76" spans="1:87" x14ac:dyDescent="0.25">
      <c r="A76" s="15" t="s">
        <v>117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0</v>
      </c>
      <c r="AT76" s="28">
        <v>0</v>
      </c>
      <c r="AU76" s="28">
        <v>0</v>
      </c>
      <c r="AV76" s="28">
        <v>0</v>
      </c>
      <c r="AW76" s="28">
        <v>0</v>
      </c>
      <c r="AX76" s="28">
        <v>0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8">
        <v>0</v>
      </c>
      <c r="BH76" s="28">
        <v>0</v>
      </c>
      <c r="BI76" s="28">
        <v>0</v>
      </c>
      <c r="BJ76" s="28">
        <v>0</v>
      </c>
      <c r="BK76" s="28">
        <v>0</v>
      </c>
      <c r="BL76" s="28">
        <v>0</v>
      </c>
      <c r="BM76" s="28">
        <v>0</v>
      </c>
      <c r="BN76" s="28">
        <v>16100000.000000002</v>
      </c>
      <c r="BO76" s="28">
        <v>16100000.000000002</v>
      </c>
      <c r="BP76" s="28">
        <v>0</v>
      </c>
      <c r="BQ76" s="28">
        <v>0</v>
      </c>
      <c r="BR76" s="28">
        <v>0</v>
      </c>
      <c r="BS76" s="28">
        <v>16100000.000000002</v>
      </c>
      <c r="BT76" s="28">
        <v>0</v>
      </c>
      <c r="BU76" s="28">
        <v>0</v>
      </c>
      <c r="BV76" s="28">
        <v>0</v>
      </c>
      <c r="BW76" s="28">
        <v>0</v>
      </c>
      <c r="BX76" s="28">
        <v>0</v>
      </c>
      <c r="BY76" s="28">
        <v>0</v>
      </c>
      <c r="BZ76" s="28">
        <v>0</v>
      </c>
      <c r="CA76" s="28">
        <v>0</v>
      </c>
      <c r="CB76" s="28">
        <v>0</v>
      </c>
      <c r="CC76" s="28">
        <v>0</v>
      </c>
      <c r="CD76" s="28">
        <v>0</v>
      </c>
      <c r="CE76" s="28">
        <v>0</v>
      </c>
      <c r="CF76" s="28">
        <v>0</v>
      </c>
      <c r="CG76" s="28">
        <v>0</v>
      </c>
      <c r="CH76" s="28">
        <v>0</v>
      </c>
      <c r="CI76" s="29">
        <v>0</v>
      </c>
    </row>
    <row r="77" spans="1:87" x14ac:dyDescent="0.25">
      <c r="A77" s="15" t="s">
        <v>118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8">
        <v>0</v>
      </c>
      <c r="AT77" s="28"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8">
        <v>0</v>
      </c>
      <c r="BH77" s="28">
        <v>0</v>
      </c>
      <c r="BI77" s="28">
        <v>0</v>
      </c>
      <c r="BJ77" s="28">
        <v>0</v>
      </c>
      <c r="BK77" s="28">
        <v>0</v>
      </c>
      <c r="BL77" s="28">
        <v>0</v>
      </c>
      <c r="BM77" s="28">
        <v>0</v>
      </c>
      <c r="BN77" s="28">
        <v>0</v>
      </c>
      <c r="BO77" s="28">
        <v>0</v>
      </c>
      <c r="BP77" s="28">
        <v>0</v>
      </c>
      <c r="BQ77" s="28">
        <v>0</v>
      </c>
      <c r="BR77" s="28">
        <v>0</v>
      </c>
      <c r="BS77" s="28">
        <v>0</v>
      </c>
      <c r="BT77" s="28">
        <v>0</v>
      </c>
      <c r="BU77" s="28">
        <v>82407500</v>
      </c>
      <c r="BV77" s="28">
        <v>0</v>
      </c>
      <c r="BW77" s="28">
        <v>82407500</v>
      </c>
      <c r="BX77" s="28">
        <v>0</v>
      </c>
      <c r="BY77" s="28">
        <v>0</v>
      </c>
      <c r="BZ77" s="28">
        <v>0</v>
      </c>
      <c r="CA77" s="28">
        <v>82407500</v>
      </c>
      <c r="CB77" s="28">
        <v>0</v>
      </c>
      <c r="CC77" s="28">
        <v>82407000</v>
      </c>
      <c r="CD77" s="28">
        <v>0</v>
      </c>
      <c r="CE77" s="28">
        <v>82407000</v>
      </c>
      <c r="CF77" s="28">
        <v>0</v>
      </c>
      <c r="CG77" s="28">
        <v>0</v>
      </c>
      <c r="CH77" s="28">
        <v>0</v>
      </c>
      <c r="CI77" s="29">
        <v>82407000</v>
      </c>
    </row>
    <row r="78" spans="1:87" ht="15.75" thickBot="1" x14ac:dyDescent="0.3">
      <c r="A78" s="16" t="s">
        <v>119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1">
        <v>0</v>
      </c>
      <c r="BF78" s="31">
        <v>0</v>
      </c>
      <c r="BG78" s="31">
        <v>0</v>
      </c>
      <c r="BH78" s="31">
        <v>0</v>
      </c>
      <c r="BI78" s="31">
        <v>0</v>
      </c>
      <c r="BJ78" s="31">
        <v>0</v>
      </c>
      <c r="BK78" s="31">
        <v>0</v>
      </c>
      <c r="BL78" s="31">
        <v>0</v>
      </c>
      <c r="BM78" s="31">
        <v>0</v>
      </c>
      <c r="BN78" s="31">
        <v>0</v>
      </c>
      <c r="BO78" s="31">
        <v>0</v>
      </c>
      <c r="BP78" s="31">
        <v>0</v>
      </c>
      <c r="BQ78" s="31">
        <v>0</v>
      </c>
      <c r="BR78" s="31">
        <v>0</v>
      </c>
      <c r="BS78" s="31">
        <v>0</v>
      </c>
      <c r="BT78" s="31">
        <v>0</v>
      </c>
      <c r="BU78" s="31">
        <v>0</v>
      </c>
      <c r="BV78" s="31">
        <v>0</v>
      </c>
      <c r="BW78" s="31">
        <v>0</v>
      </c>
      <c r="BX78" s="31">
        <v>0</v>
      </c>
      <c r="BY78" s="31">
        <v>19010951</v>
      </c>
      <c r="BZ78" s="31">
        <v>19010951</v>
      </c>
      <c r="CA78" s="31">
        <v>19010951</v>
      </c>
      <c r="CB78" s="31">
        <v>0</v>
      </c>
      <c r="CC78" s="31">
        <v>0</v>
      </c>
      <c r="CD78" s="31">
        <v>0</v>
      </c>
      <c r="CE78" s="31">
        <v>0</v>
      </c>
      <c r="CF78" s="31">
        <v>62214590</v>
      </c>
      <c r="CG78" s="31">
        <v>800000</v>
      </c>
      <c r="CH78" s="31">
        <v>63014590</v>
      </c>
      <c r="CI78" s="32">
        <v>63014590</v>
      </c>
    </row>
    <row r="80" spans="1:87" x14ac:dyDescent="0.25">
      <c r="A80" s="1" t="s">
        <v>62</v>
      </c>
    </row>
    <row r="81" spans="1:1" x14ac:dyDescent="0.25">
      <c r="A81" s="1" t="s">
        <v>79</v>
      </c>
    </row>
    <row r="82" spans="1:1" x14ac:dyDescent="0.25">
      <c r="A82" s="1" t="s">
        <v>82</v>
      </c>
    </row>
    <row r="83" spans="1:1" x14ac:dyDescent="0.25">
      <c r="A83" s="1" t="s">
        <v>83</v>
      </c>
    </row>
    <row r="84" spans="1:1" x14ac:dyDescent="0.25">
      <c r="A84" s="1" t="s">
        <v>84</v>
      </c>
    </row>
    <row r="85" spans="1:1" x14ac:dyDescent="0.25">
      <c r="A85" s="1" t="s">
        <v>85</v>
      </c>
    </row>
    <row r="86" spans="1:1" x14ac:dyDescent="0.25">
      <c r="A86" s="1" t="s">
        <v>86</v>
      </c>
    </row>
    <row r="87" spans="1:1" x14ac:dyDescent="0.25">
      <c r="A87" s="1" t="s">
        <v>87</v>
      </c>
    </row>
    <row r="88" spans="1:1" x14ac:dyDescent="0.25">
      <c r="A88" s="1" t="s">
        <v>88</v>
      </c>
    </row>
    <row r="89" spans="1:1" x14ac:dyDescent="0.25">
      <c r="A89" s="1" t="s">
        <v>89</v>
      </c>
    </row>
    <row r="90" spans="1:1" x14ac:dyDescent="0.25">
      <c r="A90" s="1" t="s">
        <v>90</v>
      </c>
    </row>
    <row r="91" spans="1:1" x14ac:dyDescent="0.25">
      <c r="A91" s="1" t="s">
        <v>91</v>
      </c>
    </row>
    <row r="92" spans="1:1" x14ac:dyDescent="0.25">
      <c r="A92" s="1" t="s">
        <v>101</v>
      </c>
    </row>
    <row r="93" spans="1:1" x14ac:dyDescent="0.25">
      <c r="A93" s="1" t="s">
        <v>108</v>
      </c>
    </row>
    <row r="94" spans="1:1" x14ac:dyDescent="0.25">
      <c r="A94" s="1" t="s">
        <v>111</v>
      </c>
    </row>
    <row r="95" spans="1:1" x14ac:dyDescent="0.25">
      <c r="A95" s="1" t="s">
        <v>112</v>
      </c>
    </row>
  </sheetData>
  <mergeCells count="123">
    <mergeCell ref="V2:V4"/>
    <mergeCell ref="AC2:AC4"/>
    <mergeCell ref="AJ2:AJ4"/>
    <mergeCell ref="AQ2:AQ4"/>
    <mergeCell ref="AX2:AX4"/>
    <mergeCell ref="BE2:BE4"/>
    <mergeCell ref="BL2:BL4"/>
    <mergeCell ref="BS2:BS4"/>
    <mergeCell ref="CA2:CA4"/>
    <mergeCell ref="CB3:CB4"/>
    <mergeCell ref="CC3:CC4"/>
    <mergeCell ref="CD3:CD4"/>
    <mergeCell ref="CE3:CE4"/>
    <mergeCell ref="CF3:CF4"/>
    <mergeCell ref="CG3:CG4"/>
    <mergeCell ref="CB1:CI1"/>
    <mergeCell ref="CB2:CE2"/>
    <mergeCell ref="CF2:CH2"/>
    <mergeCell ref="CH3:CH4"/>
    <mergeCell ref="CI2:CI4"/>
    <mergeCell ref="BT1:CA1"/>
    <mergeCell ref="BT2:BW2"/>
    <mergeCell ref="BX2:BZ2"/>
    <mergeCell ref="BT3:BT4"/>
    <mergeCell ref="BU3:BU4"/>
    <mergeCell ref="BW3:BW4"/>
    <mergeCell ref="BX3:BX4"/>
    <mergeCell ref="BY3:BY4"/>
    <mergeCell ref="BZ3:BZ4"/>
    <mergeCell ref="BV3:BV4"/>
    <mergeCell ref="BM1:BS1"/>
    <mergeCell ref="BM2:BO2"/>
    <mergeCell ref="BP2:BR2"/>
    <mergeCell ref="BM3:BM4"/>
    <mergeCell ref="BN3:BN4"/>
    <mergeCell ref="BO3:BO4"/>
    <mergeCell ref="BP3:BP4"/>
    <mergeCell ref="BQ3:BQ4"/>
    <mergeCell ref="BR3:BR4"/>
    <mergeCell ref="A1:A4"/>
    <mergeCell ref="AB3:AB4"/>
    <mergeCell ref="U3:U4"/>
    <mergeCell ref="W1:AC1"/>
    <mergeCell ref="W2:Y2"/>
    <mergeCell ref="Z2:AB2"/>
    <mergeCell ref="W3:W4"/>
    <mergeCell ref="X3:X4"/>
    <mergeCell ref="Y3:Y4"/>
    <mergeCell ref="Z3:Z4"/>
    <mergeCell ref="AA3:AA4"/>
    <mergeCell ref="N3:N4"/>
    <mergeCell ref="P1:V1"/>
    <mergeCell ref="P2:R2"/>
    <mergeCell ref="S2:U2"/>
    <mergeCell ref="P3:P4"/>
    <mergeCell ref="Q3:Q4"/>
    <mergeCell ref="R3:R4"/>
    <mergeCell ref="S3:S4"/>
    <mergeCell ref="T3:T4"/>
    <mergeCell ref="I1:O1"/>
    <mergeCell ref="I2:K2"/>
    <mergeCell ref="L2:N2"/>
    <mergeCell ref="I3:I4"/>
    <mergeCell ref="J3:J4"/>
    <mergeCell ref="K3:K4"/>
    <mergeCell ref="L3:L4"/>
    <mergeCell ref="M3:M4"/>
    <mergeCell ref="G3:G4"/>
    <mergeCell ref="B1:H1"/>
    <mergeCell ref="B2:D2"/>
    <mergeCell ref="E2:G2"/>
    <mergeCell ref="B3:B4"/>
    <mergeCell ref="C3:C4"/>
    <mergeCell ref="D3:D4"/>
    <mergeCell ref="E3:E4"/>
    <mergeCell ref="F3:F4"/>
    <mergeCell ref="H2:H4"/>
    <mergeCell ref="O2:O4"/>
    <mergeCell ref="AD1:AJ1"/>
    <mergeCell ref="AD2:AF2"/>
    <mergeCell ref="AG2:AI2"/>
    <mergeCell ref="AD3:AD4"/>
    <mergeCell ref="AE3:AE4"/>
    <mergeCell ref="AF3:AF4"/>
    <mergeCell ref="AG3:AG4"/>
    <mergeCell ref="AH3:AH4"/>
    <mergeCell ref="AI3:AI4"/>
    <mergeCell ref="AK1:AQ1"/>
    <mergeCell ref="AK2:AM2"/>
    <mergeCell ref="AN2:AP2"/>
    <mergeCell ref="AK3:AK4"/>
    <mergeCell ref="AL3:AL4"/>
    <mergeCell ref="AM3:AM4"/>
    <mergeCell ref="AN3:AN4"/>
    <mergeCell ref="AO3:AO4"/>
    <mergeCell ref="AP3:AP4"/>
    <mergeCell ref="AR1:AX1"/>
    <mergeCell ref="AR2:AT2"/>
    <mergeCell ref="AU2:AW2"/>
    <mergeCell ref="AR3:AR4"/>
    <mergeCell ref="AS3:AS4"/>
    <mergeCell ref="AT3:AT4"/>
    <mergeCell ref="AU3:AU4"/>
    <mergeCell ref="AV3:AV4"/>
    <mergeCell ref="AW3:AW4"/>
    <mergeCell ref="AY1:BE1"/>
    <mergeCell ref="AY2:BA2"/>
    <mergeCell ref="BB2:BD2"/>
    <mergeCell ref="AY3:AY4"/>
    <mergeCell ref="AZ3:AZ4"/>
    <mergeCell ref="BA3:BA4"/>
    <mergeCell ref="BB3:BB4"/>
    <mergeCell ref="BC3:BC4"/>
    <mergeCell ref="BD3:BD4"/>
    <mergeCell ref="BF1:BL1"/>
    <mergeCell ref="BF2:BH2"/>
    <mergeCell ref="BI2:BK2"/>
    <mergeCell ref="BF3:BF4"/>
    <mergeCell ref="BG3:BG4"/>
    <mergeCell ref="BH3:BH4"/>
    <mergeCell ref="BI3:BI4"/>
    <mergeCell ref="BJ3:BJ4"/>
    <mergeCell ref="BK3:B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95"/>
  <sheetViews>
    <sheetView zoomScale="90" zoomScaleNormal="9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4.28515625" style="1" customWidth="1"/>
    <col min="2" max="73" width="18.28515625" style="2" customWidth="1"/>
    <col min="74" max="74" width="21.42578125" style="2" customWidth="1"/>
    <col min="75" max="81" width="18.28515625" style="2" customWidth="1"/>
    <col min="82" max="82" width="21" style="2" customWidth="1"/>
    <col min="83" max="87" width="18.28515625" style="2" customWidth="1"/>
  </cols>
  <sheetData>
    <row r="1" spans="1:87" x14ac:dyDescent="0.25">
      <c r="A1" s="56" t="s">
        <v>27</v>
      </c>
      <c r="B1" s="49">
        <v>2002</v>
      </c>
      <c r="C1" s="39"/>
      <c r="D1" s="39"/>
      <c r="E1" s="39"/>
      <c r="F1" s="39"/>
      <c r="G1" s="39"/>
      <c r="H1" s="39"/>
      <c r="I1" s="39">
        <v>2003</v>
      </c>
      <c r="J1" s="39"/>
      <c r="K1" s="39"/>
      <c r="L1" s="39"/>
      <c r="M1" s="39"/>
      <c r="N1" s="39"/>
      <c r="O1" s="39"/>
      <c r="P1" s="39">
        <v>2004</v>
      </c>
      <c r="Q1" s="39"/>
      <c r="R1" s="39"/>
      <c r="S1" s="39"/>
      <c r="T1" s="39"/>
      <c r="U1" s="39"/>
      <c r="V1" s="39"/>
      <c r="W1" s="39">
        <v>2005</v>
      </c>
      <c r="X1" s="39"/>
      <c r="Y1" s="39"/>
      <c r="Z1" s="39"/>
      <c r="AA1" s="39"/>
      <c r="AB1" s="39"/>
      <c r="AC1" s="39"/>
      <c r="AD1" s="39">
        <v>2006</v>
      </c>
      <c r="AE1" s="39"/>
      <c r="AF1" s="39"/>
      <c r="AG1" s="39"/>
      <c r="AH1" s="39"/>
      <c r="AI1" s="39"/>
      <c r="AJ1" s="39"/>
      <c r="AK1" s="39">
        <v>2007</v>
      </c>
      <c r="AL1" s="39"/>
      <c r="AM1" s="39"/>
      <c r="AN1" s="39"/>
      <c r="AO1" s="39"/>
      <c r="AP1" s="39"/>
      <c r="AQ1" s="39"/>
      <c r="AR1" s="39">
        <v>2008</v>
      </c>
      <c r="AS1" s="39"/>
      <c r="AT1" s="39"/>
      <c r="AU1" s="39"/>
      <c r="AV1" s="39"/>
      <c r="AW1" s="39"/>
      <c r="AX1" s="39"/>
      <c r="AY1" s="39">
        <v>2009</v>
      </c>
      <c r="AZ1" s="39"/>
      <c r="BA1" s="39"/>
      <c r="BB1" s="39"/>
      <c r="BC1" s="39"/>
      <c r="BD1" s="39"/>
      <c r="BE1" s="39"/>
      <c r="BF1" s="39">
        <v>2010</v>
      </c>
      <c r="BG1" s="39"/>
      <c r="BH1" s="39"/>
      <c r="BI1" s="39"/>
      <c r="BJ1" s="39"/>
      <c r="BK1" s="39"/>
      <c r="BL1" s="39"/>
      <c r="BM1" s="47">
        <v>2011</v>
      </c>
      <c r="BN1" s="48"/>
      <c r="BO1" s="48"/>
      <c r="BP1" s="48"/>
      <c r="BQ1" s="48"/>
      <c r="BR1" s="48"/>
      <c r="BS1" s="49"/>
      <c r="BT1" s="47">
        <v>2012</v>
      </c>
      <c r="BU1" s="48"/>
      <c r="BV1" s="48"/>
      <c r="BW1" s="48"/>
      <c r="BX1" s="48"/>
      <c r="BY1" s="48"/>
      <c r="BZ1" s="48"/>
      <c r="CA1" s="49"/>
      <c r="CB1" s="47">
        <v>2013</v>
      </c>
      <c r="CC1" s="48"/>
      <c r="CD1" s="48"/>
      <c r="CE1" s="48"/>
      <c r="CF1" s="48"/>
      <c r="CG1" s="48"/>
      <c r="CH1" s="48"/>
      <c r="CI1" s="50"/>
    </row>
    <row r="2" spans="1:87" x14ac:dyDescent="0.25">
      <c r="A2" s="45"/>
      <c r="B2" s="42" t="s">
        <v>29</v>
      </c>
      <c r="C2" s="40"/>
      <c r="D2" s="40"/>
      <c r="E2" s="40" t="s">
        <v>28</v>
      </c>
      <c r="F2" s="40"/>
      <c r="G2" s="40"/>
      <c r="H2" s="53" t="s">
        <v>26</v>
      </c>
      <c r="I2" s="40" t="s">
        <v>29</v>
      </c>
      <c r="J2" s="40"/>
      <c r="K2" s="40"/>
      <c r="L2" s="40" t="s">
        <v>28</v>
      </c>
      <c r="M2" s="40"/>
      <c r="N2" s="40"/>
      <c r="O2" s="53" t="s">
        <v>26</v>
      </c>
      <c r="P2" s="40" t="s">
        <v>29</v>
      </c>
      <c r="Q2" s="40"/>
      <c r="R2" s="40"/>
      <c r="S2" s="40" t="s">
        <v>28</v>
      </c>
      <c r="T2" s="40"/>
      <c r="U2" s="40"/>
      <c r="V2" s="53" t="s">
        <v>26</v>
      </c>
      <c r="W2" s="40" t="s">
        <v>29</v>
      </c>
      <c r="X2" s="40"/>
      <c r="Y2" s="40"/>
      <c r="Z2" s="40" t="s">
        <v>28</v>
      </c>
      <c r="AA2" s="40"/>
      <c r="AB2" s="40"/>
      <c r="AC2" s="53" t="s">
        <v>26</v>
      </c>
      <c r="AD2" s="40" t="s">
        <v>29</v>
      </c>
      <c r="AE2" s="40"/>
      <c r="AF2" s="40"/>
      <c r="AG2" s="40" t="s">
        <v>28</v>
      </c>
      <c r="AH2" s="40"/>
      <c r="AI2" s="40"/>
      <c r="AJ2" s="53" t="s">
        <v>26</v>
      </c>
      <c r="AK2" s="40" t="s">
        <v>29</v>
      </c>
      <c r="AL2" s="40"/>
      <c r="AM2" s="40"/>
      <c r="AN2" s="40" t="s">
        <v>28</v>
      </c>
      <c r="AO2" s="40"/>
      <c r="AP2" s="40"/>
      <c r="AQ2" s="53" t="s">
        <v>26</v>
      </c>
      <c r="AR2" s="40" t="s">
        <v>29</v>
      </c>
      <c r="AS2" s="40"/>
      <c r="AT2" s="40"/>
      <c r="AU2" s="40" t="s">
        <v>28</v>
      </c>
      <c r="AV2" s="40"/>
      <c r="AW2" s="40"/>
      <c r="AX2" s="53" t="s">
        <v>26</v>
      </c>
      <c r="AY2" s="40" t="s">
        <v>29</v>
      </c>
      <c r="AZ2" s="40"/>
      <c r="BA2" s="40"/>
      <c r="BB2" s="40" t="s">
        <v>28</v>
      </c>
      <c r="BC2" s="40"/>
      <c r="BD2" s="40"/>
      <c r="BE2" s="53" t="s">
        <v>26</v>
      </c>
      <c r="BF2" s="40" t="s">
        <v>29</v>
      </c>
      <c r="BG2" s="40"/>
      <c r="BH2" s="40"/>
      <c r="BI2" s="40" t="s">
        <v>28</v>
      </c>
      <c r="BJ2" s="40"/>
      <c r="BK2" s="40"/>
      <c r="BL2" s="53" t="s">
        <v>26</v>
      </c>
      <c r="BM2" s="40" t="s">
        <v>29</v>
      </c>
      <c r="BN2" s="40"/>
      <c r="BO2" s="40"/>
      <c r="BP2" s="40" t="s">
        <v>28</v>
      </c>
      <c r="BQ2" s="40"/>
      <c r="BR2" s="40"/>
      <c r="BS2" s="53" t="s">
        <v>26</v>
      </c>
      <c r="BT2" s="40" t="s">
        <v>29</v>
      </c>
      <c r="BU2" s="40"/>
      <c r="BV2" s="40"/>
      <c r="BW2" s="40"/>
      <c r="BX2" s="40" t="s">
        <v>28</v>
      </c>
      <c r="BY2" s="40"/>
      <c r="BZ2" s="40"/>
      <c r="CA2" s="53" t="s">
        <v>26</v>
      </c>
      <c r="CB2" s="40" t="s">
        <v>29</v>
      </c>
      <c r="CC2" s="40"/>
      <c r="CD2" s="40"/>
      <c r="CE2" s="40"/>
      <c r="CF2" s="40" t="s">
        <v>28</v>
      </c>
      <c r="CG2" s="40"/>
      <c r="CH2" s="40"/>
      <c r="CI2" s="51" t="s">
        <v>26</v>
      </c>
    </row>
    <row r="3" spans="1:87" x14ac:dyDescent="0.25">
      <c r="A3" s="45"/>
      <c r="B3" s="42" t="s">
        <v>30</v>
      </c>
      <c r="C3" s="40" t="s">
        <v>31</v>
      </c>
      <c r="D3" s="40" t="s">
        <v>32</v>
      </c>
      <c r="E3" s="40" t="s">
        <v>33</v>
      </c>
      <c r="F3" s="40" t="s">
        <v>34</v>
      </c>
      <c r="G3" s="40" t="s">
        <v>35</v>
      </c>
      <c r="H3" s="54"/>
      <c r="I3" s="40" t="s">
        <v>30</v>
      </c>
      <c r="J3" s="40" t="s">
        <v>31</v>
      </c>
      <c r="K3" s="40" t="s">
        <v>32</v>
      </c>
      <c r="L3" s="40" t="s">
        <v>33</v>
      </c>
      <c r="M3" s="40" t="s">
        <v>34</v>
      </c>
      <c r="N3" s="40" t="s">
        <v>35</v>
      </c>
      <c r="O3" s="54"/>
      <c r="P3" s="40" t="s">
        <v>30</v>
      </c>
      <c r="Q3" s="40" t="s">
        <v>31</v>
      </c>
      <c r="R3" s="40" t="s">
        <v>32</v>
      </c>
      <c r="S3" s="40" t="s">
        <v>33</v>
      </c>
      <c r="T3" s="40" t="s">
        <v>34</v>
      </c>
      <c r="U3" s="40" t="s">
        <v>35</v>
      </c>
      <c r="V3" s="54"/>
      <c r="W3" s="40" t="s">
        <v>30</v>
      </c>
      <c r="X3" s="40" t="s">
        <v>31</v>
      </c>
      <c r="Y3" s="40" t="s">
        <v>32</v>
      </c>
      <c r="Z3" s="40" t="s">
        <v>33</v>
      </c>
      <c r="AA3" s="40" t="s">
        <v>34</v>
      </c>
      <c r="AB3" s="40" t="s">
        <v>35</v>
      </c>
      <c r="AC3" s="54"/>
      <c r="AD3" s="40" t="s">
        <v>30</v>
      </c>
      <c r="AE3" s="40" t="s">
        <v>31</v>
      </c>
      <c r="AF3" s="40" t="s">
        <v>32</v>
      </c>
      <c r="AG3" s="40" t="s">
        <v>33</v>
      </c>
      <c r="AH3" s="40" t="s">
        <v>34</v>
      </c>
      <c r="AI3" s="40" t="s">
        <v>35</v>
      </c>
      <c r="AJ3" s="54"/>
      <c r="AK3" s="40" t="s">
        <v>30</v>
      </c>
      <c r="AL3" s="40" t="s">
        <v>31</v>
      </c>
      <c r="AM3" s="40" t="s">
        <v>32</v>
      </c>
      <c r="AN3" s="40" t="s">
        <v>33</v>
      </c>
      <c r="AO3" s="40" t="s">
        <v>34</v>
      </c>
      <c r="AP3" s="40" t="s">
        <v>35</v>
      </c>
      <c r="AQ3" s="54"/>
      <c r="AR3" s="40" t="s">
        <v>30</v>
      </c>
      <c r="AS3" s="40" t="s">
        <v>31</v>
      </c>
      <c r="AT3" s="40" t="s">
        <v>32</v>
      </c>
      <c r="AU3" s="40" t="s">
        <v>33</v>
      </c>
      <c r="AV3" s="40" t="s">
        <v>34</v>
      </c>
      <c r="AW3" s="40" t="s">
        <v>35</v>
      </c>
      <c r="AX3" s="54"/>
      <c r="AY3" s="40" t="s">
        <v>30</v>
      </c>
      <c r="AZ3" s="40" t="s">
        <v>31</v>
      </c>
      <c r="BA3" s="40" t="s">
        <v>32</v>
      </c>
      <c r="BB3" s="40" t="s">
        <v>33</v>
      </c>
      <c r="BC3" s="40" t="s">
        <v>34</v>
      </c>
      <c r="BD3" s="40" t="s">
        <v>35</v>
      </c>
      <c r="BE3" s="54"/>
      <c r="BF3" s="40" t="s">
        <v>30</v>
      </c>
      <c r="BG3" s="40" t="s">
        <v>31</v>
      </c>
      <c r="BH3" s="40" t="s">
        <v>32</v>
      </c>
      <c r="BI3" s="40" t="s">
        <v>33</v>
      </c>
      <c r="BJ3" s="40" t="s">
        <v>34</v>
      </c>
      <c r="BK3" s="40" t="s">
        <v>35</v>
      </c>
      <c r="BL3" s="54"/>
      <c r="BM3" s="40" t="s">
        <v>30</v>
      </c>
      <c r="BN3" s="40" t="s">
        <v>31</v>
      </c>
      <c r="BO3" s="40" t="s">
        <v>32</v>
      </c>
      <c r="BP3" s="40" t="s">
        <v>33</v>
      </c>
      <c r="BQ3" s="40" t="s">
        <v>34</v>
      </c>
      <c r="BR3" s="40" t="s">
        <v>35</v>
      </c>
      <c r="BS3" s="54"/>
      <c r="BT3" s="40" t="s">
        <v>30</v>
      </c>
      <c r="BU3" s="40" t="s">
        <v>31</v>
      </c>
      <c r="BV3" s="40" t="s">
        <v>44</v>
      </c>
      <c r="BW3" s="40" t="s">
        <v>32</v>
      </c>
      <c r="BX3" s="40" t="s">
        <v>33</v>
      </c>
      <c r="BY3" s="40" t="s">
        <v>34</v>
      </c>
      <c r="BZ3" s="40" t="s">
        <v>35</v>
      </c>
      <c r="CA3" s="54"/>
      <c r="CB3" s="40" t="s">
        <v>30</v>
      </c>
      <c r="CC3" s="40" t="s">
        <v>31</v>
      </c>
      <c r="CD3" s="40" t="s">
        <v>44</v>
      </c>
      <c r="CE3" s="40" t="s">
        <v>32</v>
      </c>
      <c r="CF3" s="40" t="s">
        <v>33</v>
      </c>
      <c r="CG3" s="40" t="s">
        <v>34</v>
      </c>
      <c r="CH3" s="40" t="s">
        <v>35</v>
      </c>
      <c r="CI3" s="51"/>
    </row>
    <row r="4" spans="1:87" ht="15.75" thickBot="1" x14ac:dyDescent="0.3">
      <c r="A4" s="46"/>
      <c r="B4" s="42"/>
      <c r="C4" s="40"/>
      <c r="D4" s="40"/>
      <c r="E4" s="40"/>
      <c r="F4" s="40"/>
      <c r="G4" s="40"/>
      <c r="H4" s="55"/>
      <c r="I4" s="40"/>
      <c r="J4" s="40"/>
      <c r="K4" s="40"/>
      <c r="L4" s="40"/>
      <c r="M4" s="40"/>
      <c r="N4" s="40"/>
      <c r="O4" s="55"/>
      <c r="P4" s="40"/>
      <c r="Q4" s="40"/>
      <c r="R4" s="40"/>
      <c r="S4" s="40"/>
      <c r="T4" s="40"/>
      <c r="U4" s="40"/>
      <c r="V4" s="55"/>
      <c r="W4" s="40"/>
      <c r="X4" s="40"/>
      <c r="Y4" s="40"/>
      <c r="Z4" s="40"/>
      <c r="AA4" s="40"/>
      <c r="AB4" s="40"/>
      <c r="AC4" s="55"/>
      <c r="AD4" s="40"/>
      <c r="AE4" s="40"/>
      <c r="AF4" s="40"/>
      <c r="AG4" s="40"/>
      <c r="AH4" s="40"/>
      <c r="AI4" s="40"/>
      <c r="AJ4" s="55"/>
      <c r="AK4" s="40"/>
      <c r="AL4" s="40"/>
      <c r="AM4" s="40"/>
      <c r="AN4" s="40"/>
      <c r="AO4" s="40"/>
      <c r="AP4" s="40"/>
      <c r="AQ4" s="55"/>
      <c r="AR4" s="40"/>
      <c r="AS4" s="40"/>
      <c r="AT4" s="40"/>
      <c r="AU4" s="40"/>
      <c r="AV4" s="40"/>
      <c r="AW4" s="40"/>
      <c r="AX4" s="55"/>
      <c r="AY4" s="40"/>
      <c r="AZ4" s="40"/>
      <c r="BA4" s="40"/>
      <c r="BB4" s="40"/>
      <c r="BC4" s="40"/>
      <c r="BD4" s="40"/>
      <c r="BE4" s="55"/>
      <c r="BF4" s="40"/>
      <c r="BG4" s="40"/>
      <c r="BH4" s="40"/>
      <c r="BI4" s="40"/>
      <c r="BJ4" s="40"/>
      <c r="BK4" s="40"/>
      <c r="BL4" s="55"/>
      <c r="BM4" s="40"/>
      <c r="BN4" s="40"/>
      <c r="BO4" s="40"/>
      <c r="BP4" s="40"/>
      <c r="BQ4" s="40"/>
      <c r="BR4" s="40"/>
      <c r="BS4" s="55"/>
      <c r="BT4" s="40"/>
      <c r="BU4" s="40"/>
      <c r="BV4" s="40"/>
      <c r="BW4" s="40"/>
      <c r="BX4" s="40"/>
      <c r="BY4" s="40"/>
      <c r="BZ4" s="40"/>
      <c r="CA4" s="55"/>
      <c r="CB4" s="40"/>
      <c r="CC4" s="40"/>
      <c r="CD4" s="40"/>
      <c r="CE4" s="40"/>
      <c r="CF4" s="40"/>
      <c r="CG4" s="40"/>
      <c r="CH4" s="40"/>
      <c r="CI4" s="51"/>
    </row>
    <row r="5" spans="1:87" s="18" customFormat="1" ht="15.75" thickBot="1" x14ac:dyDescent="0.3">
      <c r="A5" s="22" t="s">
        <v>26</v>
      </c>
      <c r="B5" s="25">
        <f>PROGRAMADO!B5/'Anexo '!$B$20</f>
        <v>60880666.721608385</v>
      </c>
      <c r="C5" s="26">
        <f>PROGRAMADO!C5/'Anexo '!$B$20</f>
        <v>1201573529.0305378</v>
      </c>
      <c r="D5" s="26">
        <f>PROGRAMADO!D5/'Anexo '!$B$20</f>
        <v>1262454195.7521462</v>
      </c>
      <c r="E5" s="26">
        <f>PROGRAMADO!E5/'Anexo '!$B$20</f>
        <v>1986132873.7075844</v>
      </c>
      <c r="F5" s="26">
        <f>PROGRAMADO!F5/'Anexo '!$B$20</f>
        <v>2947473284.6958952</v>
      </c>
      <c r="G5" s="26">
        <f>PROGRAMADO!G5/'Anexo '!$B$20</f>
        <v>4933606158.4034796</v>
      </c>
      <c r="H5" s="26">
        <f>PROGRAMADO!H5/'Anexo '!$B$20</f>
        <v>6196060354.1556253</v>
      </c>
      <c r="I5" s="26">
        <f>PROGRAMADO!I5/'Anexo '!$C$20</f>
        <v>60547678.705047518</v>
      </c>
      <c r="J5" s="26">
        <f>PROGRAMADO!J5/'Anexo '!$C$20</f>
        <v>1506009403.5752819</v>
      </c>
      <c r="K5" s="26">
        <f>PROGRAMADO!K5/'Anexo '!$C$20</f>
        <v>1566557082.2803295</v>
      </c>
      <c r="L5" s="26">
        <f>PROGRAMADO!L5/'Anexo '!$C$20</f>
        <v>1946999763.3559368</v>
      </c>
      <c r="M5" s="26">
        <f>PROGRAMADO!M5/'Anexo '!$C$20</f>
        <v>3143650471.7719011</v>
      </c>
      <c r="N5" s="26">
        <f>PROGRAMADO!N5/'Anexo '!$C$20</f>
        <v>5090650235.1278372</v>
      </c>
      <c r="O5" s="26">
        <f>PROGRAMADO!O5/'Anexo '!$C$20</f>
        <v>6657207317.4081669</v>
      </c>
      <c r="P5" s="26">
        <f>PROGRAMADO!P5/'Anexo '!$D$20</f>
        <v>46501719.367648043</v>
      </c>
      <c r="Q5" s="26">
        <f>PROGRAMADO!Q5/'Anexo '!$D$20</f>
        <v>1785629180.268007</v>
      </c>
      <c r="R5" s="26">
        <f>PROGRAMADO!R5/'Anexo '!$D$20</f>
        <v>1832130899.6356549</v>
      </c>
      <c r="S5" s="26">
        <f>PROGRAMADO!S5/'Anexo '!$D$20</f>
        <v>2304643022.7470694</v>
      </c>
      <c r="T5" s="26">
        <f>PROGRAMADO!T5/'Anexo '!$D$20</f>
        <v>3599149723.0668349</v>
      </c>
      <c r="U5" s="26">
        <f>PROGRAMADO!U5/'Anexo '!$D$20</f>
        <v>5903792745.8139038</v>
      </c>
      <c r="V5" s="26">
        <f>PROGRAMADO!V5/'Anexo '!$D$20</f>
        <v>7735923645.4495592</v>
      </c>
      <c r="W5" s="26">
        <f>PROGRAMADO!W5/'Anexo '!$E$20</f>
        <v>196039098.08615935</v>
      </c>
      <c r="X5" s="26">
        <f>PROGRAMADO!X5/'Anexo '!$E$20</f>
        <v>2427347734.7506018</v>
      </c>
      <c r="Y5" s="26">
        <f>PROGRAMADO!Y5/'Anexo '!$E$20</f>
        <v>2623386832.8367615</v>
      </c>
      <c r="Z5" s="26">
        <f>PROGRAMADO!Z5/'Anexo '!$E$20</f>
        <v>2272522654.8818688</v>
      </c>
      <c r="AA5" s="26">
        <f>PROGRAMADO!AA5/'Anexo '!$E$20</f>
        <v>3273764305.8443747</v>
      </c>
      <c r="AB5" s="26">
        <f>PROGRAMADO!AB5/'Anexo '!$E$20</f>
        <v>5546286960.726244</v>
      </c>
      <c r="AC5" s="26">
        <f>PROGRAMADO!AC5/'Anexo '!$E$20</f>
        <v>8169673793.5630045</v>
      </c>
      <c r="AD5" s="26">
        <f>PROGRAMADO!AD5/'Anexo '!$F$20</f>
        <v>198924857.00000003</v>
      </c>
      <c r="AE5" s="26">
        <f>PROGRAMADO!AE5/'Anexo '!$F$20</f>
        <v>2267357657.0000005</v>
      </c>
      <c r="AF5" s="26">
        <f>PROGRAMADO!AF5/'Anexo '!$F$20</f>
        <v>2466282514.0000005</v>
      </c>
      <c r="AG5" s="26">
        <f>PROGRAMADO!AG5/'Anexo '!$F$20</f>
        <v>2846895745.0000005</v>
      </c>
      <c r="AH5" s="26">
        <f>PROGRAMADO!AH5/'Anexo '!$F$20</f>
        <v>3786412361.000001</v>
      </c>
      <c r="AI5" s="26">
        <f>PROGRAMADO!AI5/'Anexo '!$F$20</f>
        <v>6633308106.0000019</v>
      </c>
      <c r="AJ5" s="26">
        <f>PROGRAMADO!AJ5/'Anexo '!$F$20</f>
        <v>9099590620.0000019</v>
      </c>
      <c r="AK5" s="26">
        <f>PROGRAMADO!AK5/'Anexo '!$G$20</f>
        <v>181670055.35803914</v>
      </c>
      <c r="AL5" s="26">
        <f>PROGRAMADO!AL5/'Anexo '!$G$20</f>
        <v>2569737078.3503661</v>
      </c>
      <c r="AM5" s="26">
        <f>PROGRAMADO!AM5/'Anexo '!$G$20</f>
        <v>2751407133.708405</v>
      </c>
      <c r="AN5" s="26">
        <f>PROGRAMADO!AN5/'Anexo '!$G$20</f>
        <v>2607145195.7000914</v>
      </c>
      <c r="AO5" s="26">
        <f>PROGRAMADO!AO5/'Anexo '!$G$20</f>
        <v>3505249856.0699124</v>
      </c>
      <c r="AP5" s="26">
        <f>PROGRAMADO!AP5/'Anexo '!$G$20</f>
        <v>6112395051.7700043</v>
      </c>
      <c r="AQ5" s="26">
        <f>PROGRAMADO!AQ5/'Anexo '!$G$20</f>
        <v>8863802185.4784088</v>
      </c>
      <c r="AR5" s="26">
        <f>PROGRAMADO!AR5/'Anexo '!$H$20</f>
        <v>344639555.05796629</v>
      </c>
      <c r="AS5" s="26">
        <f>PROGRAMADO!AS5/'Anexo '!$H$20</f>
        <v>2138626226.3771698</v>
      </c>
      <c r="AT5" s="26">
        <f>PROGRAMADO!AT5/'Anexo '!$H$20</f>
        <v>2483265781.4351363</v>
      </c>
      <c r="AU5" s="26">
        <f>PROGRAMADO!AU5/'Anexo '!$H$20</f>
        <v>2076530867.2254479</v>
      </c>
      <c r="AV5" s="26">
        <f>PROGRAMADO!AV5/'Anexo '!$H$20</f>
        <v>3272757191.5310726</v>
      </c>
      <c r="AW5" s="26">
        <f>PROGRAMADO!AW5/'Anexo '!$H$20</f>
        <v>5349288058.7565203</v>
      </c>
      <c r="AX5" s="26">
        <f>PROGRAMADO!AX5/'Anexo '!$H$20</f>
        <v>7832553840.1916571</v>
      </c>
      <c r="AY5" s="26">
        <f>PROGRAMADO!AY5/'Anexo '!$I$20</f>
        <v>191860890.58996174</v>
      </c>
      <c r="AZ5" s="26">
        <f>PROGRAMADO!AZ5/'Anexo '!$I$20</f>
        <v>2512835993.0819182</v>
      </c>
      <c r="BA5" s="26">
        <f>PROGRAMADO!BA5/'Anexo '!$I$20</f>
        <v>2704696883.6718798</v>
      </c>
      <c r="BB5" s="26">
        <f>PROGRAMADO!BB5/'Anexo '!$I$20</f>
        <v>1113776132.2564292</v>
      </c>
      <c r="BC5" s="26">
        <f>PROGRAMADO!BC5/'Anexo '!$I$20</f>
        <v>3098141196.3627915</v>
      </c>
      <c r="BD5" s="26">
        <f>PROGRAMADO!BD5/'Anexo '!$I$20</f>
        <v>4211917328.6192212</v>
      </c>
      <c r="BE5" s="26">
        <f>PROGRAMADO!BE5/'Anexo '!$I$20</f>
        <v>6916614212.2911015</v>
      </c>
      <c r="BF5" s="26">
        <f>PROGRAMADO!BF5/'Anexo '!$J$20</f>
        <v>80842173.406708375</v>
      </c>
      <c r="BG5" s="26">
        <f>PROGRAMADO!BG5/'Anexo '!$J$20</f>
        <v>2709914582.2720528</v>
      </c>
      <c r="BH5" s="26">
        <f>PROGRAMADO!BH5/'Anexo '!$J$20</f>
        <v>2790756755.6787615</v>
      </c>
      <c r="BI5" s="26">
        <f>PROGRAMADO!BI5/'Anexo '!$J$20</f>
        <v>993045699.24405849</v>
      </c>
      <c r="BJ5" s="26">
        <f>PROGRAMADO!BJ5/'Anexo '!$J$20</f>
        <v>2870285736.5158176</v>
      </c>
      <c r="BK5" s="26">
        <f>PROGRAMADO!BK5/'Anexo '!$J$20</f>
        <v>3863331435.7598763</v>
      </c>
      <c r="BL5" s="26">
        <f>PROGRAMADO!BL5/'Anexo '!$J$20</f>
        <v>6654088191.4386377</v>
      </c>
      <c r="BM5" s="26">
        <f>PROGRAMADO!BM5/'Anexo '!$K$20</f>
        <v>188615591.59721223</v>
      </c>
      <c r="BN5" s="26">
        <f>PROGRAMADO!BN5/'Anexo '!$K$20</f>
        <v>3356486106.9960976</v>
      </c>
      <c r="BO5" s="26">
        <f>PROGRAMADO!BO5/'Anexo '!$K$20</f>
        <v>3545101698.5933094</v>
      </c>
      <c r="BP5" s="26">
        <f>PROGRAMADO!BP5/'Anexo '!$K$20</f>
        <v>1316939441.7166517</v>
      </c>
      <c r="BQ5" s="26">
        <f>PROGRAMADO!BQ5/'Anexo '!$K$20</f>
        <v>2861609338.7674603</v>
      </c>
      <c r="BR5" s="26">
        <f>PROGRAMADO!BR5/'Anexo '!$K$20</f>
        <v>4178548780.4841123</v>
      </c>
      <c r="BS5" s="26">
        <f>PROGRAMADO!BS5/'Anexo '!$K$20</f>
        <v>7723650479.0774212</v>
      </c>
      <c r="BT5" s="26">
        <f>PROGRAMADO!BT5/'Anexo '!$L$20</f>
        <v>58003038.653711282</v>
      </c>
      <c r="BU5" s="26">
        <f>PROGRAMADO!BU5/'Anexo '!$L$20</f>
        <v>3954071253.2169228</v>
      </c>
      <c r="BV5" s="26">
        <f>PROGRAMADO!BV5/'Anexo '!$L$20</f>
        <v>810424.02040760475</v>
      </c>
      <c r="BW5" s="26">
        <f>PROGRAMADO!BW5/'Anexo '!$L$20</f>
        <v>4012884715.8910418</v>
      </c>
      <c r="BX5" s="26">
        <f>PROGRAMADO!BX5/'Anexo '!$L$20</f>
        <v>1461015300.3382688</v>
      </c>
      <c r="BY5" s="26">
        <f>PROGRAMADO!BY5/'Anexo '!$L$20</f>
        <v>2534647160.044034</v>
      </c>
      <c r="BZ5" s="26">
        <f>PROGRAMADO!BZ5/'Anexo '!$L$20</f>
        <v>3995662460.3823032</v>
      </c>
      <c r="CA5" s="26">
        <f>PROGRAMADO!CA5/'Anexo '!$L$20</f>
        <v>8008547176.273345</v>
      </c>
      <c r="CB5" s="26">
        <f>PROGRAMADO!CB5/'Anexo '!$M$20</f>
        <v>55012805.415850967</v>
      </c>
      <c r="CC5" s="26">
        <f>PROGRAMADO!CC5/'Anexo '!$M$20</f>
        <v>4231293926.0615115</v>
      </c>
      <c r="CD5" s="26">
        <f>PROGRAMADO!CD5/'Anexo '!$M$20</f>
        <v>6458546.9728360521</v>
      </c>
      <c r="CE5" s="26">
        <f>PROGRAMADO!CE5/'Anexo '!$M$20</f>
        <v>4292765278.4501987</v>
      </c>
      <c r="CF5" s="26">
        <f>PROGRAMADO!CF5/'Anexo '!$M$20</f>
        <v>1378864155.427114</v>
      </c>
      <c r="CG5" s="26">
        <f>PROGRAMADO!CG5/'Anexo '!$M$20</f>
        <v>3611578113.7192931</v>
      </c>
      <c r="CH5" s="26">
        <f>PROGRAMADO!CH5/'Anexo '!$M$20</f>
        <v>4990442269.1464071</v>
      </c>
      <c r="CI5" s="66">
        <f>PROGRAMADO!CI5/'Anexo '!$M$20</f>
        <v>9283207547.5966053</v>
      </c>
    </row>
    <row r="6" spans="1:87" x14ac:dyDescent="0.25">
      <c r="A6" s="23" t="s">
        <v>0</v>
      </c>
      <c r="B6" s="28">
        <f>PROGRAMADO!B6/'Anexo '!$B$20</f>
        <v>0</v>
      </c>
      <c r="C6" s="28">
        <f>PROGRAMADO!C6/'Anexo '!$B$20</f>
        <v>278450942.57501256</v>
      </c>
      <c r="D6" s="28">
        <f>PROGRAMADO!D6/'Anexo '!$B$20</f>
        <v>278450942.57501256</v>
      </c>
      <c r="E6" s="28">
        <f>PROGRAMADO!E6/'Anexo '!$B$20</f>
        <v>209553924.05932307</v>
      </c>
      <c r="F6" s="28">
        <f>PROGRAMADO!F6/'Anexo '!$B$20</f>
        <v>666198703.87761378</v>
      </c>
      <c r="G6" s="28">
        <f>PROGRAMADO!G6/'Anexo '!$B$20</f>
        <v>875752627.93693686</v>
      </c>
      <c r="H6" s="28">
        <f>PROGRAMADO!H6/'Anexo '!$B$20</f>
        <v>1154203570.5119495</v>
      </c>
      <c r="I6" s="28">
        <f>PROGRAMADO!I6/'Anexo '!$C$20</f>
        <v>0</v>
      </c>
      <c r="J6" s="28">
        <f>PROGRAMADO!J6/'Anexo '!$C$20</f>
        <v>379682796.03260571</v>
      </c>
      <c r="K6" s="28">
        <f>PROGRAMADO!K6/'Anexo '!$C$20</f>
        <v>379682796.03260571</v>
      </c>
      <c r="L6" s="28">
        <f>PROGRAMADO!L6/'Anexo '!$C$20</f>
        <v>60803089.985994913</v>
      </c>
      <c r="M6" s="28">
        <f>PROGRAMADO!M6/'Anexo '!$C$20</f>
        <v>807374299.27161968</v>
      </c>
      <c r="N6" s="28">
        <f>PROGRAMADO!N6/'Anexo '!$C$20</f>
        <v>868177389.25761461</v>
      </c>
      <c r="O6" s="28">
        <f>PROGRAMADO!O6/'Anexo '!$C$20</f>
        <v>1247860185.2902203</v>
      </c>
      <c r="P6" s="28">
        <f>PROGRAMADO!P6/'Anexo '!$D$20</f>
        <v>0</v>
      </c>
      <c r="Q6" s="28">
        <f>PROGRAMADO!Q6/'Anexo '!$D$20</f>
        <v>418385910.60820526</v>
      </c>
      <c r="R6" s="28">
        <f>PROGRAMADO!R6/'Anexo '!$D$20</f>
        <v>418385910.60820526</v>
      </c>
      <c r="S6" s="28">
        <f>PROGRAMADO!S6/'Anexo '!$D$20</f>
        <v>147316774.86365315</v>
      </c>
      <c r="T6" s="28">
        <f>PROGRAMADO!T6/'Anexo '!$D$20</f>
        <v>801126269.14413345</v>
      </c>
      <c r="U6" s="28">
        <f>PROGRAMADO!U6/'Anexo '!$D$20</f>
        <v>948443044.00778651</v>
      </c>
      <c r="V6" s="28">
        <f>PROGRAMADO!V6/'Anexo '!$D$20</f>
        <v>1366828954.6159918</v>
      </c>
      <c r="W6" s="28">
        <f>PROGRAMADO!W6/'Anexo '!$E$20</f>
        <v>0</v>
      </c>
      <c r="X6" s="28">
        <f>PROGRAMADO!X6/'Anexo '!$E$20</f>
        <v>531891828.28852594</v>
      </c>
      <c r="Y6" s="28">
        <f>PROGRAMADO!Y6/'Anexo '!$E$20</f>
        <v>531891828.28852594</v>
      </c>
      <c r="Z6" s="28">
        <f>PROGRAMADO!Z6/'Anexo '!$E$20</f>
        <v>148074169.8435961</v>
      </c>
      <c r="AA6" s="28">
        <f>PROGRAMADO!AA6/'Anexo '!$E$20</f>
        <v>685684601.55330825</v>
      </c>
      <c r="AB6" s="28">
        <f>PROGRAMADO!AB6/'Anexo '!$E$20</f>
        <v>833758771.39690435</v>
      </c>
      <c r="AC6" s="28">
        <f>PROGRAMADO!AC6/'Anexo '!$E$20</f>
        <v>1365650599.6854303</v>
      </c>
      <c r="AD6" s="28">
        <f>PROGRAMADO!AD6/'Anexo '!$F$20</f>
        <v>0</v>
      </c>
      <c r="AE6" s="28">
        <f>PROGRAMADO!AE6/'Anexo '!$F$20</f>
        <v>444028075.00000012</v>
      </c>
      <c r="AF6" s="28">
        <f>PROGRAMADO!AF6/'Anexo '!$F$20</f>
        <v>444028075.00000012</v>
      </c>
      <c r="AG6" s="28">
        <f>PROGRAMADO!AG6/'Anexo '!$F$20</f>
        <v>209516779.00000006</v>
      </c>
      <c r="AH6" s="28">
        <f>PROGRAMADO!AH6/'Anexo '!$F$20</f>
        <v>669481653.00000012</v>
      </c>
      <c r="AI6" s="28">
        <f>PROGRAMADO!AI6/'Anexo '!$F$20</f>
        <v>878998432.00000024</v>
      </c>
      <c r="AJ6" s="28">
        <f>PROGRAMADO!AJ6/'Anexo '!$F$20</f>
        <v>1323026507.0000002</v>
      </c>
      <c r="AK6" s="28">
        <f>PROGRAMADO!AK6/'Anexo '!$G$20</f>
        <v>0</v>
      </c>
      <c r="AL6" s="28">
        <f>PROGRAMADO!AL6/'Anexo '!$G$20</f>
        <v>594247466.18991351</v>
      </c>
      <c r="AM6" s="28">
        <f>PROGRAMADO!AM6/'Anexo '!$G$20</f>
        <v>594247466.18991351</v>
      </c>
      <c r="AN6" s="28">
        <f>PROGRAMADO!AN6/'Anexo '!$G$20</f>
        <v>276005753.76775908</v>
      </c>
      <c r="AO6" s="28">
        <f>PROGRAMADO!AO6/'Anexo '!$G$20</f>
        <v>822241729.68286192</v>
      </c>
      <c r="AP6" s="28">
        <f>PROGRAMADO!AP6/'Anexo '!$G$20</f>
        <v>1098247483.4506209</v>
      </c>
      <c r="AQ6" s="28">
        <f>PROGRAMADO!AQ6/'Anexo '!$G$20</f>
        <v>1692494949.6405346</v>
      </c>
      <c r="AR6" s="28">
        <f>PROGRAMADO!AR6/'Anexo '!$H$20</f>
        <v>0</v>
      </c>
      <c r="AS6" s="28">
        <f>PROGRAMADO!AS6/'Anexo '!$H$20</f>
        <v>297405892.62069839</v>
      </c>
      <c r="AT6" s="28">
        <f>PROGRAMADO!AT6/'Anexo '!$H$20</f>
        <v>297405892.62069839</v>
      </c>
      <c r="AU6" s="28">
        <f>PROGRAMADO!AU6/'Anexo '!$H$20</f>
        <v>327264311.10738999</v>
      </c>
      <c r="AV6" s="28">
        <f>PROGRAMADO!AV6/'Anexo '!$H$20</f>
        <v>885358408.38091576</v>
      </c>
      <c r="AW6" s="28">
        <f>PROGRAMADO!AW6/'Anexo '!$H$20</f>
        <v>1212622719.4883058</v>
      </c>
      <c r="AX6" s="28">
        <f>PROGRAMADO!AX6/'Anexo '!$H$20</f>
        <v>1510028612.109004</v>
      </c>
      <c r="AY6" s="28">
        <f>PROGRAMADO!AY6/'Anexo '!$I$20</f>
        <v>0</v>
      </c>
      <c r="AZ6" s="28">
        <f>PROGRAMADO!AZ6/'Anexo '!$I$20</f>
        <v>458174516.74124688</v>
      </c>
      <c r="BA6" s="28">
        <f>PROGRAMADO!BA6/'Anexo '!$I$20</f>
        <v>458174516.74124688</v>
      </c>
      <c r="BB6" s="28">
        <f>PROGRAMADO!BB6/'Anexo '!$I$20</f>
        <v>213115898.11457685</v>
      </c>
      <c r="BC6" s="28">
        <f>PROGRAMADO!BC6/'Anexo '!$I$20</f>
        <v>1058370326.2315174</v>
      </c>
      <c r="BD6" s="28">
        <f>PROGRAMADO!BD6/'Anexo '!$I$20</f>
        <v>1271486224.3460941</v>
      </c>
      <c r="BE6" s="28">
        <f>PROGRAMADO!BE6/'Anexo '!$I$20</f>
        <v>1729660741.0873411</v>
      </c>
      <c r="BF6" s="28">
        <f>PROGRAMADO!BF6/'Anexo '!$J$20</f>
        <v>0</v>
      </c>
      <c r="BG6" s="28">
        <f>PROGRAMADO!BG6/'Anexo '!$J$20</f>
        <v>551993611.22688746</v>
      </c>
      <c r="BH6" s="28">
        <f>PROGRAMADO!BH6/'Anexo '!$J$20</f>
        <v>551993611.22688746</v>
      </c>
      <c r="BI6" s="28">
        <f>PROGRAMADO!BI6/'Anexo '!$J$20</f>
        <v>215616492.19374537</v>
      </c>
      <c r="BJ6" s="28">
        <f>PROGRAMADO!BJ6/'Anexo '!$J$20</f>
        <v>1226554242.6068835</v>
      </c>
      <c r="BK6" s="28">
        <f>PROGRAMADO!BK6/'Anexo '!$J$20</f>
        <v>1442170734.8006289</v>
      </c>
      <c r="BL6" s="28">
        <f>PROGRAMADO!BL6/'Anexo '!$J$20</f>
        <v>1994164346.0275164</v>
      </c>
      <c r="BM6" s="28">
        <f>PROGRAMADO!BM6/'Anexo '!$K$20</f>
        <v>0</v>
      </c>
      <c r="BN6" s="28">
        <f>PROGRAMADO!BN6/'Anexo '!$K$20</f>
        <v>699066794.69399774</v>
      </c>
      <c r="BO6" s="28">
        <f>PROGRAMADO!BO6/'Anexo '!$K$20</f>
        <v>699066794.69399774</v>
      </c>
      <c r="BP6" s="28">
        <f>PROGRAMADO!BP6/'Anexo '!$K$20</f>
        <v>318726913.98172939</v>
      </c>
      <c r="BQ6" s="28">
        <f>PROGRAMADO!BQ6/'Anexo '!$K$20</f>
        <v>1048737242.754829</v>
      </c>
      <c r="BR6" s="28">
        <f>PROGRAMADO!BR6/'Anexo '!$K$20</f>
        <v>1367464156.7365584</v>
      </c>
      <c r="BS6" s="28">
        <f>PROGRAMADO!BS6/'Anexo '!$K$20</f>
        <v>2066530951.4305563</v>
      </c>
      <c r="BT6" s="28">
        <f>PROGRAMADO!BT6/'Anexo '!$L$20</f>
        <v>0</v>
      </c>
      <c r="BU6" s="28">
        <f>PROGRAMADO!BU6/'Anexo '!$L$20</f>
        <v>693747030.6576556</v>
      </c>
      <c r="BV6" s="28">
        <f>PROGRAMADO!BV6/'Anexo '!$L$20</f>
        <v>0</v>
      </c>
      <c r="BW6" s="28">
        <f>PROGRAMADO!BW6/'Anexo '!$L$20</f>
        <v>693747030.6576556</v>
      </c>
      <c r="BX6" s="28">
        <f>PROGRAMADO!BX6/'Anexo '!$L$20</f>
        <v>763196766.22252083</v>
      </c>
      <c r="BY6" s="28">
        <f>PROGRAMADO!BY6/'Anexo '!$L$20</f>
        <v>696471123.66915536</v>
      </c>
      <c r="BZ6" s="28">
        <f>PROGRAMADO!BZ6/'Anexo '!$L$20</f>
        <v>1459667889.8916762</v>
      </c>
      <c r="CA6" s="28">
        <f>PROGRAMADO!CA6/'Anexo '!$L$20</f>
        <v>2153414920.5493317</v>
      </c>
      <c r="CB6" s="28">
        <f>PROGRAMADO!CB6/'Anexo '!$M$20</f>
        <v>0</v>
      </c>
      <c r="CC6" s="28">
        <f>PROGRAMADO!CC6/'Anexo '!$M$20</f>
        <v>759158682.33650947</v>
      </c>
      <c r="CD6" s="28">
        <f>PROGRAMADO!CD6/'Anexo '!$M$20</f>
        <v>0</v>
      </c>
      <c r="CE6" s="28">
        <f>PROGRAMADO!CE6/'Anexo '!$M$20</f>
        <v>759158682.33650947</v>
      </c>
      <c r="CF6" s="28">
        <f>PROGRAMADO!CF6/'Anexo '!$M$20</f>
        <v>546471066.25177824</v>
      </c>
      <c r="CG6" s="28">
        <f>PROGRAMADO!CG6/'Anexo '!$M$20</f>
        <v>797071671.80828834</v>
      </c>
      <c r="CH6" s="28">
        <f>PROGRAMADO!CH6/'Anexo '!$M$20</f>
        <v>1343542738.0600667</v>
      </c>
      <c r="CI6" s="29">
        <f>PROGRAMADO!CI6/'Anexo '!$M$20</f>
        <v>2102701420.3965762</v>
      </c>
    </row>
    <row r="7" spans="1:87" x14ac:dyDescent="0.25">
      <c r="A7" s="23" t="s">
        <v>1</v>
      </c>
      <c r="B7" s="28">
        <f>PROGRAMADO!B7/'Anexo '!$B$20</f>
        <v>60880666.721608385</v>
      </c>
      <c r="C7" s="28">
        <f>PROGRAMADO!C7/'Anexo '!$B$20</f>
        <v>36734723.333406128</v>
      </c>
      <c r="D7" s="28">
        <f>PROGRAMADO!D7/'Anexo '!$B$20</f>
        <v>97615390.055014506</v>
      </c>
      <c r="E7" s="28">
        <f>PROGRAMADO!E7/'Anexo '!$B$20</f>
        <v>329239382.54585898</v>
      </c>
      <c r="F7" s="28">
        <f>PROGRAMADO!F7/'Anexo '!$B$20</f>
        <v>313364624.52594006</v>
      </c>
      <c r="G7" s="28">
        <f>PROGRAMADO!G7/'Anexo '!$B$20</f>
        <v>642604007.07179904</v>
      </c>
      <c r="H7" s="28">
        <f>PROGRAMADO!H7/'Anexo '!$B$20</f>
        <v>740219397.12681353</v>
      </c>
      <c r="I7" s="28">
        <f>PROGRAMADO!I7/'Anexo '!$C$20</f>
        <v>60547678.705047518</v>
      </c>
      <c r="J7" s="28">
        <f>PROGRAMADO!J7/'Anexo '!$C$20</f>
        <v>33360600.763734251</v>
      </c>
      <c r="K7" s="28">
        <f>PROGRAMADO!K7/'Anexo '!$C$20</f>
        <v>93908279.468781769</v>
      </c>
      <c r="L7" s="28">
        <f>PROGRAMADO!L7/'Anexo '!$C$20</f>
        <v>374735717.70162094</v>
      </c>
      <c r="M7" s="28">
        <f>PROGRAMADO!M7/'Anexo '!$C$20</f>
        <v>203020132.62668547</v>
      </c>
      <c r="N7" s="28">
        <f>PROGRAMADO!N7/'Anexo '!$C$20</f>
        <v>577755850.32830644</v>
      </c>
      <c r="O7" s="28">
        <f>PROGRAMADO!O7/'Anexo '!$C$20</f>
        <v>671664129.79708827</v>
      </c>
      <c r="P7" s="28">
        <f>PROGRAMADO!P7/'Anexo '!$D$20</f>
        <v>46501719.367648043</v>
      </c>
      <c r="Q7" s="28">
        <f>PROGRAMADO!Q7/'Anexo '!$D$20</f>
        <v>41754468.271752901</v>
      </c>
      <c r="R7" s="28">
        <f>PROGRAMADO!R7/'Anexo '!$D$20</f>
        <v>88256187.639400944</v>
      </c>
      <c r="S7" s="28">
        <f>PROGRAMADO!S7/'Anexo '!$D$20</f>
        <v>451554136.50610119</v>
      </c>
      <c r="T7" s="28">
        <f>PROGRAMADO!T7/'Anexo '!$D$20</f>
        <v>189481391.7593689</v>
      </c>
      <c r="U7" s="28">
        <f>PROGRAMADO!U7/'Anexo '!$D$20</f>
        <v>641035528.26547015</v>
      </c>
      <c r="V7" s="28">
        <f>PROGRAMADO!V7/'Anexo '!$D$20</f>
        <v>729291715.90487111</v>
      </c>
      <c r="W7" s="28">
        <f>PROGRAMADO!W7/'Anexo '!$E$13</f>
        <v>40075917.34167809</v>
      </c>
      <c r="X7" s="28">
        <f>PROGRAMADO!X7/'Anexo '!$E$13</f>
        <v>17546228.14523942</v>
      </c>
      <c r="Y7" s="28">
        <f>PROGRAMADO!Y7/'Anexo '!$E$13</f>
        <v>57622145.486917511</v>
      </c>
      <c r="Z7" s="28">
        <f>PROGRAMADO!Z7/'Anexo '!$E$13</f>
        <v>283062669.84128958</v>
      </c>
      <c r="AA7" s="28">
        <f>PROGRAMADO!AA7/'Anexo '!$E$13</f>
        <v>276889247.59838217</v>
      </c>
      <c r="AB7" s="28">
        <f>PROGRAMADO!AB7/'Anexo '!$E$13</f>
        <v>559951917.43967175</v>
      </c>
      <c r="AC7" s="28">
        <f>PROGRAMADO!AC7/'Anexo '!$E$13</f>
        <v>617574062.92658925</v>
      </c>
      <c r="AD7" s="28">
        <f>PROGRAMADO!AD7/'Anexo '!$F$20</f>
        <v>37945427.000000007</v>
      </c>
      <c r="AE7" s="28">
        <f>PROGRAMADO!AE7/'Anexo '!$F$20</f>
        <v>12398460.000000002</v>
      </c>
      <c r="AF7" s="28">
        <f>PROGRAMADO!AF7/'Anexo '!$F$20</f>
        <v>50343887.000000015</v>
      </c>
      <c r="AG7" s="28">
        <f>PROGRAMADO!AG7/'Anexo '!$F$20</f>
        <v>322784160.00000006</v>
      </c>
      <c r="AH7" s="28">
        <f>PROGRAMADO!AH7/'Anexo '!$F$20</f>
        <v>264410926.00000009</v>
      </c>
      <c r="AI7" s="28">
        <f>PROGRAMADO!AI7/'Anexo '!$F$20</f>
        <v>587195086.00000012</v>
      </c>
      <c r="AJ7" s="28">
        <f>PROGRAMADO!AJ7/'Anexo '!$F$20</f>
        <v>637538973.00000012</v>
      </c>
      <c r="AK7" s="28">
        <f>PROGRAMADO!AK7/'Anexo '!$G$20</f>
        <v>23.382784418996764</v>
      </c>
      <c r="AL7" s="28">
        <f>PROGRAMADO!AL7/'Anexo '!$G$20</f>
        <v>56245997.462247677</v>
      </c>
      <c r="AM7" s="28">
        <f>PROGRAMADO!AM7/'Anexo '!$G$20</f>
        <v>79628781.881244436</v>
      </c>
      <c r="AN7" s="28">
        <f>PROGRAMADO!AN7/'Anexo '!$G$20</f>
        <v>251345286.41060153</v>
      </c>
      <c r="AO7" s="28">
        <f>PROGRAMADO!AO7/'Anexo '!$G$20</f>
        <v>550439135.09316146</v>
      </c>
      <c r="AP7" s="28">
        <f>PROGRAMADO!AP7/'Anexo '!$G$20</f>
        <v>801784421.50376308</v>
      </c>
      <c r="AQ7" s="28">
        <f>PROGRAMADO!AQ7/'Anexo '!$G$20</f>
        <v>881413203.3850075</v>
      </c>
      <c r="AR7" s="28">
        <f>PROGRAMADO!AR7/'Anexo '!$H$20</f>
        <v>28052890.978607479</v>
      </c>
      <c r="AS7" s="28">
        <f>PROGRAMADO!AS7/'Anexo '!$H$20</f>
        <v>38747930.816109166</v>
      </c>
      <c r="AT7" s="28">
        <f>PROGRAMADO!AT7/'Anexo '!$H$20</f>
        <v>66800821.794716641</v>
      </c>
      <c r="AU7" s="28">
        <f>PROGRAMADO!AU7/'Anexo '!$H$20</f>
        <v>403534953.32729936</v>
      </c>
      <c r="AV7" s="28">
        <f>PROGRAMADO!AV7/'Anexo '!$H$20</f>
        <v>577630027.98448801</v>
      </c>
      <c r="AW7" s="28">
        <f>PROGRAMADO!AW7/'Anexo '!$H$20</f>
        <v>981164981.31178737</v>
      </c>
      <c r="AX7" s="28">
        <f>PROGRAMADO!AX7/'Anexo '!$H$20</f>
        <v>1047965803.1065041</v>
      </c>
      <c r="AY7" s="28">
        <f>PROGRAMADO!AY7/'Anexo '!$I$20</f>
        <v>21475536.347717874</v>
      </c>
      <c r="AZ7" s="28">
        <f>PROGRAMADO!AZ7/'Anexo '!$I$20</f>
        <v>90057654.227323562</v>
      </c>
      <c r="BA7" s="28">
        <f>PROGRAMADO!BA7/'Anexo '!$I$20</f>
        <v>111533190.57504144</v>
      </c>
      <c r="BB7" s="28">
        <f>PROGRAMADO!BB7/'Anexo '!$I$20</f>
        <v>300526472.40716457</v>
      </c>
      <c r="BC7" s="28">
        <f>PROGRAMADO!BC7/'Anexo '!$I$20</f>
        <v>787090278.68247354</v>
      </c>
      <c r="BD7" s="28">
        <f>PROGRAMADO!BD7/'Anexo '!$I$20</f>
        <v>1087616751.089638</v>
      </c>
      <c r="BE7" s="28">
        <f>PROGRAMADO!BE7/'Anexo '!$I$20</f>
        <v>1199149941.6646795</v>
      </c>
      <c r="BF7" s="28">
        <f>PROGRAMADO!BF7/'Anexo '!$J$20</f>
        <v>9159991.3904383797</v>
      </c>
      <c r="BG7" s="28">
        <f>PROGRAMADO!BG7/'Anexo '!$J$20</f>
        <v>46065827.609359331</v>
      </c>
      <c r="BH7" s="28">
        <f>PROGRAMADO!BH7/'Anexo '!$J$20</f>
        <v>55225818.999797702</v>
      </c>
      <c r="BI7" s="28">
        <f>PROGRAMADO!BI7/'Anexo '!$J$20</f>
        <v>303085698.74190915</v>
      </c>
      <c r="BJ7" s="28">
        <f>PROGRAMADO!BJ7/'Anexo '!$J$20</f>
        <v>446480409.11980903</v>
      </c>
      <c r="BK7" s="28">
        <f>PROGRAMADO!BK7/'Anexo '!$J$20</f>
        <v>749566107.86171818</v>
      </c>
      <c r="BL7" s="28">
        <f>PROGRAMADO!BL7/'Anexo '!$J$20</f>
        <v>804791926.86151588</v>
      </c>
      <c r="BM7" s="28">
        <f>PROGRAMADO!BM7/'Anexo '!$K$20</f>
        <v>10731833.787010565</v>
      </c>
      <c r="BN7" s="28">
        <f>PROGRAMADO!BN7/'Anexo '!$K$20</f>
        <v>94485878.932815179</v>
      </c>
      <c r="BO7" s="28">
        <f>PROGRAMADO!BO7/'Anexo '!$K$20</f>
        <v>105217712.71982574</v>
      </c>
      <c r="BP7" s="28">
        <f>PROGRAMADO!BP7/'Anexo '!$K$20</f>
        <v>301404945.93601936</v>
      </c>
      <c r="BQ7" s="28">
        <f>PROGRAMADO!BQ7/'Anexo '!$K$20</f>
        <v>297989576.18051904</v>
      </c>
      <c r="BR7" s="28">
        <f>PROGRAMADO!BR7/'Anexo '!$K$20</f>
        <v>599394522.11653841</v>
      </c>
      <c r="BS7" s="28">
        <f>PROGRAMADO!BS7/'Anexo '!$K$20</f>
        <v>704612234.83636415</v>
      </c>
      <c r="BT7" s="28">
        <f>PROGRAMADO!BT7/'Anexo '!$L$20</f>
        <v>21126284.191878479</v>
      </c>
      <c r="BU7" s="28">
        <f>PROGRAMADO!BU7/'Anexo '!$L$20</f>
        <v>65147349.35180369</v>
      </c>
      <c r="BV7" s="28">
        <f>PROGRAMADO!BV7/'Anexo '!$L$20</f>
        <v>0</v>
      </c>
      <c r="BW7" s="28">
        <f>PROGRAMADO!BW7/'Anexo '!$L$20</f>
        <v>86273633.543682173</v>
      </c>
      <c r="BX7" s="28">
        <f>PROGRAMADO!BX7/'Anexo '!$L$20</f>
        <v>154058638.92094782</v>
      </c>
      <c r="BY7" s="28">
        <f>PROGRAMADO!BY7/'Anexo '!$L$20</f>
        <v>321204964.52728045</v>
      </c>
      <c r="BZ7" s="28">
        <f>PROGRAMADO!BZ7/'Anexo '!$L$20</f>
        <v>475263603.4482283</v>
      </c>
      <c r="CA7" s="28">
        <f>PROGRAMADO!CA7/'Anexo '!$L$20</f>
        <v>561537236.99191046</v>
      </c>
      <c r="CB7" s="28">
        <f>PROGRAMADO!CB7/'Anexo '!$M$20</f>
        <v>5387575.930554729</v>
      </c>
      <c r="CC7" s="28">
        <f>PROGRAMADO!CC7/'Anexo '!$M$20</f>
        <v>73241908.572250813</v>
      </c>
      <c r="CD7" s="28">
        <f>PROGRAMADO!CD7/'Anexo '!$M$20</f>
        <v>0</v>
      </c>
      <c r="CE7" s="28">
        <f>PROGRAMADO!CE7/'Anexo '!$M$20</f>
        <v>78629484.502805546</v>
      </c>
      <c r="CF7" s="28">
        <f>PROGRAMADO!CF7/'Anexo '!$M$20</f>
        <v>206219623.88532034</v>
      </c>
      <c r="CG7" s="28">
        <f>PROGRAMADO!CG7/'Anexo '!$M$20</f>
        <v>314688608.08349609</v>
      </c>
      <c r="CH7" s="28">
        <f>PROGRAMADO!CH7/'Anexo '!$M$20</f>
        <v>520908231.9688164</v>
      </c>
      <c r="CI7" s="29">
        <f>PROGRAMADO!CI7/'Anexo '!$M$20</f>
        <v>599537716.47162199</v>
      </c>
    </row>
    <row r="8" spans="1:87" x14ac:dyDescent="0.25">
      <c r="A8" s="23" t="s">
        <v>2</v>
      </c>
      <c r="B8" s="28">
        <f>PROGRAMADO!B8/'Anexo '!$B$20</f>
        <v>0</v>
      </c>
      <c r="C8" s="28">
        <f>PROGRAMADO!C8/'Anexo '!$B$20</f>
        <v>11909774.22800166</v>
      </c>
      <c r="D8" s="28">
        <f>PROGRAMADO!D8/'Anexo '!$B$20</f>
        <v>11909774.22800166</v>
      </c>
      <c r="E8" s="28">
        <f>PROGRAMADO!E8/'Anexo '!$B$20</f>
        <v>28399162.059739932</v>
      </c>
      <c r="F8" s="28">
        <f>PROGRAMADO!F8/'Anexo '!$B$20</f>
        <v>18036292.073017236</v>
      </c>
      <c r="G8" s="28">
        <f>PROGRAMADO!G8/'Anexo '!$B$20</f>
        <v>46435454.132757172</v>
      </c>
      <c r="H8" s="28">
        <f>PROGRAMADO!H8/'Anexo '!$B$20</f>
        <v>58345228.360758826</v>
      </c>
      <c r="I8" s="28">
        <f>PROGRAMADO!I8/'Anexo '!$C$20</f>
        <v>0</v>
      </c>
      <c r="J8" s="28">
        <f>PROGRAMADO!J8/'Anexo '!$C$20</f>
        <v>14078911.592941882</v>
      </c>
      <c r="K8" s="28">
        <f>PROGRAMADO!K8/'Anexo '!$C$20</f>
        <v>14078911.592941882</v>
      </c>
      <c r="L8" s="28">
        <f>PROGRAMADO!L8/'Anexo '!$C$20</f>
        <v>25415971.822968703</v>
      </c>
      <c r="M8" s="28">
        <f>PROGRAMADO!M8/'Anexo '!$C$20</f>
        <v>1123699.6963134666</v>
      </c>
      <c r="N8" s="28">
        <f>PROGRAMADO!N8/'Anexo '!$C$20</f>
        <v>26539671.519282166</v>
      </c>
      <c r="O8" s="28">
        <f>PROGRAMADO!O8/'Anexo '!$C$20</f>
        <v>40618583.11222405</v>
      </c>
      <c r="P8" s="28">
        <f>PROGRAMADO!P8/'Anexo '!$D$20</f>
        <v>0</v>
      </c>
      <c r="Q8" s="28">
        <f>PROGRAMADO!Q8/'Anexo '!$D$20</f>
        <v>12829051.840328265</v>
      </c>
      <c r="R8" s="28">
        <f>PROGRAMADO!R8/'Anexo '!$D$20</f>
        <v>12829051.840328265</v>
      </c>
      <c r="S8" s="28">
        <f>PROGRAMADO!S8/'Anexo '!$D$20</f>
        <v>16313949.987840557</v>
      </c>
      <c r="T8" s="28">
        <f>PROGRAMADO!T8/'Anexo '!$D$20</f>
        <v>1051130.8349306239</v>
      </c>
      <c r="U8" s="28">
        <f>PROGRAMADO!U8/'Anexo '!$D$20</f>
        <v>17365080.82277118</v>
      </c>
      <c r="V8" s="28">
        <f>PROGRAMADO!V8/'Anexo '!$D$20</f>
        <v>30194132.663099445</v>
      </c>
      <c r="W8" s="28">
        <f>PROGRAMADO!W8/'Anexo '!$E$13</f>
        <v>0</v>
      </c>
      <c r="X8" s="28">
        <f>PROGRAMADO!X8/'Anexo '!$E$13</f>
        <v>10874650.967999347</v>
      </c>
      <c r="Y8" s="28">
        <f>PROGRAMADO!Y8/'Anexo '!$E$13</f>
        <v>10874650.967999347</v>
      </c>
      <c r="Z8" s="28">
        <f>PROGRAMADO!Z8/'Anexo '!$E$13</f>
        <v>17455208.98966049</v>
      </c>
      <c r="AA8" s="28">
        <f>PROGRAMADO!AA8/'Anexo '!$E$13</f>
        <v>892279.05378456181</v>
      </c>
      <c r="AB8" s="28">
        <f>PROGRAMADO!AB8/'Anexo '!$E$13</f>
        <v>18347488.043445051</v>
      </c>
      <c r="AC8" s="28">
        <f>PROGRAMADO!AC8/'Anexo '!$E$13</f>
        <v>29222139.011444401</v>
      </c>
      <c r="AD8" s="28">
        <f>PROGRAMADO!AD8/'Anexo '!$F$20</f>
        <v>0</v>
      </c>
      <c r="AE8" s="28">
        <f>PROGRAMADO!AE8/'Anexo '!$F$20</f>
        <v>8914000.0000000019</v>
      </c>
      <c r="AF8" s="28">
        <f>PROGRAMADO!AF8/'Anexo '!$F$20</f>
        <v>8914000.0000000019</v>
      </c>
      <c r="AG8" s="28">
        <f>PROGRAMADO!AG8/'Anexo '!$F$20</f>
        <v>9300000.0000000019</v>
      </c>
      <c r="AH8" s="28">
        <f>PROGRAMADO!AH8/'Anexo '!$F$20</f>
        <v>900000.00000000023</v>
      </c>
      <c r="AI8" s="28">
        <f>PROGRAMADO!AI8/'Anexo '!$F$20</f>
        <v>10200000.000000002</v>
      </c>
      <c r="AJ8" s="28">
        <f>PROGRAMADO!AJ8/'Anexo '!$F$20</f>
        <v>19114000.000000004</v>
      </c>
      <c r="AK8" s="28">
        <f>PROGRAMADO!AK8/'Anexo '!$G$20</f>
        <v>0</v>
      </c>
      <c r="AL8" s="28">
        <f>PROGRAMADO!AL8/'Anexo '!$G$20</f>
        <v>8236999.9993152143</v>
      </c>
      <c r="AM8" s="28">
        <f>PROGRAMADO!AM8/'Anexo '!$G$20</f>
        <v>8236999.9993152143</v>
      </c>
      <c r="AN8" s="28">
        <f>PROGRAMADO!AN8/'Anexo '!$G$20</f>
        <v>8423772.7892877907</v>
      </c>
      <c r="AO8" s="28">
        <f>PROGRAMADO!AO8/'Anexo '!$G$20</f>
        <v>0</v>
      </c>
      <c r="AP8" s="28">
        <f>PROGRAMADO!AP8/'Anexo '!$G$20</f>
        <v>8423772.7892877907</v>
      </c>
      <c r="AQ8" s="28">
        <f>PROGRAMADO!AQ8/'Anexo '!$G$20</f>
        <v>16660772.788603004</v>
      </c>
      <c r="AR8" s="28">
        <f>PROGRAMADO!AR8/'Anexo '!$H$20</f>
        <v>0</v>
      </c>
      <c r="AS8" s="28">
        <f>PROGRAMADO!AS8/'Anexo '!$H$20</f>
        <v>4747061.6905996716</v>
      </c>
      <c r="AT8" s="28">
        <f>PROGRAMADO!AT8/'Anexo '!$H$20</f>
        <v>4747061.6905996716</v>
      </c>
      <c r="AU8" s="28">
        <f>PROGRAMADO!AU8/'Anexo '!$H$20</f>
        <v>0</v>
      </c>
      <c r="AV8" s="28">
        <f>PROGRAMADO!AV8/'Anexo '!$H$20</f>
        <v>0</v>
      </c>
      <c r="AW8" s="28">
        <f>PROGRAMADO!AW8/'Anexo '!$H$20</f>
        <v>0</v>
      </c>
      <c r="AX8" s="28">
        <f>PROGRAMADO!AX8/'Anexo '!$H$20</f>
        <v>4747061.6905996716</v>
      </c>
      <c r="AY8" s="28">
        <f>PROGRAMADO!AY8/'Anexo '!$I$20</f>
        <v>0</v>
      </c>
      <c r="AZ8" s="28">
        <f>PROGRAMADO!AZ8/'Anexo '!$I$20</f>
        <v>10742465.887877494</v>
      </c>
      <c r="BA8" s="28">
        <f>PROGRAMADO!BA8/'Anexo '!$I$20</f>
        <v>10742465.887877494</v>
      </c>
      <c r="BB8" s="28">
        <f>PROGRAMADO!BB8/'Anexo '!$I$20</f>
        <v>0</v>
      </c>
      <c r="BC8" s="28">
        <f>PROGRAMADO!BC8/'Anexo '!$I$20</f>
        <v>0</v>
      </c>
      <c r="BD8" s="28">
        <f>PROGRAMADO!BD8/'Anexo '!$I$20</f>
        <v>0</v>
      </c>
      <c r="BE8" s="28">
        <f>PROGRAMADO!BE8/'Anexo '!$I$20</f>
        <v>10742465.887877494</v>
      </c>
      <c r="BF8" s="28">
        <f>PROGRAMADO!BF8/'Anexo '!$J$20</f>
        <v>0</v>
      </c>
      <c r="BG8" s="28">
        <f>PROGRAMADO!BG8/'Anexo '!$J$20</f>
        <v>5970468.672359203</v>
      </c>
      <c r="BH8" s="28">
        <f>PROGRAMADO!BH8/'Anexo '!$J$20</f>
        <v>5970468.672359203</v>
      </c>
      <c r="BI8" s="28">
        <f>PROGRAMADO!BI8/'Anexo '!$J$20</f>
        <v>0</v>
      </c>
      <c r="BJ8" s="28">
        <f>PROGRAMADO!BJ8/'Anexo '!$J$20</f>
        <v>0</v>
      </c>
      <c r="BK8" s="28">
        <f>PROGRAMADO!BK8/'Anexo '!$J$20</f>
        <v>0</v>
      </c>
      <c r="BL8" s="28">
        <f>PROGRAMADO!BL8/'Anexo '!$J$20</f>
        <v>5970468.672359203</v>
      </c>
      <c r="BM8" s="28">
        <f>PROGRAMADO!BM8/'Anexo '!$K$20</f>
        <v>0</v>
      </c>
      <c r="BN8" s="28">
        <f>PROGRAMADO!BN8/'Anexo '!$K$20</f>
        <v>5906428.0929282811</v>
      </c>
      <c r="BO8" s="28">
        <f>PROGRAMADO!BO8/'Anexo '!$K$20</f>
        <v>5906428.0929282811</v>
      </c>
      <c r="BP8" s="28">
        <f>PROGRAMADO!BP8/'Anexo '!$K$20</f>
        <v>0</v>
      </c>
      <c r="BQ8" s="28">
        <f>PROGRAMADO!BQ8/'Anexo '!$K$20</f>
        <v>0</v>
      </c>
      <c r="BR8" s="28">
        <f>PROGRAMADO!BR8/'Anexo '!$K$20</f>
        <v>0</v>
      </c>
      <c r="BS8" s="28">
        <f>PROGRAMADO!BS8/'Anexo '!$K$20</f>
        <v>5906428.0929282811</v>
      </c>
      <c r="BT8" s="28">
        <f>PROGRAMADO!BT8/'Anexo '!$L$20</f>
        <v>0</v>
      </c>
      <c r="BU8" s="28">
        <f>PROGRAMADO!BU8/'Anexo '!$L$20</f>
        <v>5758682.5308491355</v>
      </c>
      <c r="BV8" s="28">
        <f>PROGRAMADO!BV8/'Anexo '!$L$20</f>
        <v>0</v>
      </c>
      <c r="BW8" s="28">
        <f>PROGRAMADO!BW8/'Anexo '!$L$20</f>
        <v>5758682.5308491355</v>
      </c>
      <c r="BX8" s="28">
        <f>PROGRAMADO!BX8/'Anexo '!$L$20</f>
        <v>0</v>
      </c>
      <c r="BY8" s="28">
        <f>PROGRAMADO!BY8/'Anexo '!$L$20</f>
        <v>0</v>
      </c>
      <c r="BZ8" s="28">
        <f>PROGRAMADO!BZ8/'Anexo '!$L$20</f>
        <v>0</v>
      </c>
      <c r="CA8" s="28">
        <f>PROGRAMADO!CA8/'Anexo '!$L$20</f>
        <v>5758682.5308491355</v>
      </c>
      <c r="CB8" s="28">
        <f>PROGRAMADO!CB8/'Anexo '!$M$20</f>
        <v>0</v>
      </c>
      <c r="CC8" s="28">
        <f>PROGRAMADO!CC8/'Anexo '!$M$20</f>
        <v>4863110.6933572143</v>
      </c>
      <c r="CD8" s="28">
        <f>PROGRAMADO!CD8/'Anexo '!$M$20</f>
        <v>0</v>
      </c>
      <c r="CE8" s="28">
        <f>PROGRAMADO!CE8/'Anexo '!$M$20</f>
        <v>4863110.6933572143</v>
      </c>
      <c r="CF8" s="28">
        <f>PROGRAMADO!CF8/'Anexo '!$M$20</f>
        <v>0</v>
      </c>
      <c r="CG8" s="28">
        <f>PROGRAMADO!CG8/'Anexo '!$M$20</f>
        <v>0</v>
      </c>
      <c r="CH8" s="28">
        <f>PROGRAMADO!CH8/'Anexo '!$M$20</f>
        <v>0</v>
      </c>
      <c r="CI8" s="29">
        <f>PROGRAMADO!CI8/'Anexo '!$M$20</f>
        <v>4863110.6933572143</v>
      </c>
    </row>
    <row r="9" spans="1:87" x14ac:dyDescent="0.25">
      <c r="A9" s="23" t="s">
        <v>3</v>
      </c>
      <c r="B9" s="28">
        <f>PROGRAMADO!B9/'Anexo '!$B$20</f>
        <v>0</v>
      </c>
      <c r="C9" s="28">
        <f>PROGRAMADO!C9/'Anexo '!$B$20</f>
        <v>9238491.8663478997</v>
      </c>
      <c r="D9" s="28">
        <f>PROGRAMADO!D9/'Anexo '!$B$20</f>
        <v>9238491.8663478997</v>
      </c>
      <c r="E9" s="28">
        <f>PROGRAMADO!E9/'Anexo '!$B$20</f>
        <v>0</v>
      </c>
      <c r="F9" s="28">
        <f>PROGRAMADO!F9/'Anexo '!$B$20</f>
        <v>0</v>
      </c>
      <c r="G9" s="28">
        <f>PROGRAMADO!G9/'Anexo '!$B$20</f>
        <v>0</v>
      </c>
      <c r="H9" s="28">
        <f>PROGRAMADO!H9/'Anexo '!$B$20</f>
        <v>9238491.8663478997</v>
      </c>
      <c r="I9" s="28">
        <f>PROGRAMADO!I9/'Anexo '!$C$20</f>
        <v>0</v>
      </c>
      <c r="J9" s="28">
        <f>PROGRAMADO!J9/'Anexo '!$C$20</f>
        <v>8153519.0712096198</v>
      </c>
      <c r="K9" s="28">
        <f>PROGRAMADO!K9/'Anexo '!$C$20</f>
        <v>8153519.0712096198</v>
      </c>
      <c r="L9" s="28">
        <f>PROGRAMADO!L9/'Anexo '!$C$20</f>
        <v>0</v>
      </c>
      <c r="M9" s="28">
        <f>PROGRAMADO!M9/'Anexo '!$C$20</f>
        <v>49016609.559408501</v>
      </c>
      <c r="N9" s="28">
        <f>PROGRAMADO!N9/'Anexo '!$C$20</f>
        <v>49016609.559408501</v>
      </c>
      <c r="O9" s="28">
        <f>PROGRAMADO!O9/'Anexo '!$C$20</f>
        <v>57170128.63061811</v>
      </c>
      <c r="P9" s="28">
        <f>PROGRAMADO!P9/'Anexo '!$D$20</f>
        <v>0</v>
      </c>
      <c r="Q9" s="28">
        <f>PROGRAMADO!Q9/'Anexo '!$D$20</f>
        <v>26358419.59942906</v>
      </c>
      <c r="R9" s="28">
        <f>PROGRAMADO!R9/'Anexo '!$D$20</f>
        <v>26358419.59942906</v>
      </c>
      <c r="S9" s="28">
        <f>PROGRAMADO!S9/'Anexo '!$D$20</f>
        <v>5720017.4992545964</v>
      </c>
      <c r="T9" s="28">
        <f>PROGRAMADO!T9/'Anexo '!$D$20</f>
        <v>161363824.55895728</v>
      </c>
      <c r="U9" s="28">
        <f>PROGRAMADO!U9/'Anexo '!$D$20</f>
        <v>167083842.05821186</v>
      </c>
      <c r="V9" s="28">
        <f>PROGRAMADO!V9/'Anexo '!$D$20</f>
        <v>193442261.65764093</v>
      </c>
      <c r="W9" s="28">
        <f>PROGRAMADO!W9/'Anexo '!$E$13</f>
        <v>0</v>
      </c>
      <c r="X9" s="28">
        <f>PROGRAMADO!X9/'Anexo '!$E$13</f>
        <v>21270041.01062993</v>
      </c>
      <c r="Y9" s="28">
        <f>PROGRAMADO!Y9/'Anexo '!$E$13</f>
        <v>21270041.01062993</v>
      </c>
      <c r="Z9" s="28">
        <f>PROGRAMADO!Z9/'Anexo '!$E$13</f>
        <v>0</v>
      </c>
      <c r="AA9" s="28">
        <f>PROGRAMADO!AA9/'Anexo '!$E$13</f>
        <v>93355330.635686785</v>
      </c>
      <c r="AB9" s="28">
        <f>PROGRAMADO!AB9/'Anexo '!$E$13</f>
        <v>93355330.635686785</v>
      </c>
      <c r="AC9" s="28">
        <f>PROGRAMADO!AC9/'Anexo '!$E$13</f>
        <v>114625371.64631672</v>
      </c>
      <c r="AD9" s="28">
        <f>PROGRAMADO!AD9/'Anexo '!$F$20</f>
        <v>0</v>
      </c>
      <c r="AE9" s="28">
        <f>PROGRAMADO!AE9/'Anexo '!$F$20</f>
        <v>25058371.000000004</v>
      </c>
      <c r="AF9" s="28">
        <f>PROGRAMADO!AF9/'Anexo '!$F$20</f>
        <v>25058371.000000004</v>
      </c>
      <c r="AG9" s="28">
        <f>PROGRAMADO!AG9/'Anexo '!$F$20</f>
        <v>22532414.000000004</v>
      </c>
      <c r="AH9" s="28">
        <f>PROGRAMADO!AH9/'Anexo '!$F$20</f>
        <v>148771316.00000003</v>
      </c>
      <c r="AI9" s="28">
        <f>PROGRAMADO!AI9/'Anexo '!$F$20</f>
        <v>171303730.00000003</v>
      </c>
      <c r="AJ9" s="28">
        <f>PROGRAMADO!AJ9/'Anexo '!$F$20</f>
        <v>196362101.00000003</v>
      </c>
      <c r="AK9" s="28">
        <f>PROGRAMADO!AK9/'Anexo '!$G$20</f>
        <v>0</v>
      </c>
      <c r="AL9" s="28">
        <f>PROGRAMADO!AL9/'Anexo '!$G$20</f>
        <v>11435563.590474695</v>
      </c>
      <c r="AM9" s="28">
        <f>PROGRAMADO!AM9/'Anexo '!$G$20</f>
        <v>11435563.590474695</v>
      </c>
      <c r="AN9" s="28">
        <f>PROGRAMADO!AN9/'Anexo '!$G$20</f>
        <v>0</v>
      </c>
      <c r="AO9" s="28">
        <f>PROGRAMADO!AO9/'Anexo '!$G$20</f>
        <v>20066159.965277124</v>
      </c>
      <c r="AP9" s="28">
        <f>PROGRAMADO!AP9/'Anexo '!$G$20</f>
        <v>20066159.965277124</v>
      </c>
      <c r="AQ9" s="28">
        <f>PROGRAMADO!AQ9/'Anexo '!$G$20</f>
        <v>31501723.555751819</v>
      </c>
      <c r="AR9" s="28">
        <f>PROGRAMADO!AR9/'Anexo '!$H$20</f>
        <v>0</v>
      </c>
      <c r="AS9" s="28">
        <f>PROGRAMADO!AS9/'Anexo '!$H$20</f>
        <v>9948123.9809610192</v>
      </c>
      <c r="AT9" s="28">
        <f>PROGRAMADO!AT9/'Anexo '!$H$20</f>
        <v>9948123.9809610192</v>
      </c>
      <c r="AU9" s="28">
        <f>PROGRAMADO!AU9/'Anexo '!$H$20</f>
        <v>1800938.5904769278</v>
      </c>
      <c r="AV9" s="28">
        <f>PROGRAMADO!AV9/'Anexo '!$H$20</f>
        <v>83764585.603578031</v>
      </c>
      <c r="AW9" s="28">
        <f>PROGRAMADO!AW9/'Anexo '!$H$20</f>
        <v>85565524.194054961</v>
      </c>
      <c r="AX9" s="28">
        <f>PROGRAMADO!AX9/'Anexo '!$H$20</f>
        <v>95513648.175015971</v>
      </c>
      <c r="AY9" s="28">
        <f>PROGRAMADO!AY9/'Anexo '!$I$20</f>
        <v>0</v>
      </c>
      <c r="AZ9" s="28">
        <f>PROGRAMADO!AZ9/'Anexo '!$I$20</f>
        <v>2952712.0149872741</v>
      </c>
      <c r="BA9" s="28">
        <f>PROGRAMADO!BA9/'Anexo '!$I$20</f>
        <v>2952712.0149872741</v>
      </c>
      <c r="BB9" s="28">
        <f>PROGRAMADO!BB9/'Anexo '!$I$20</f>
        <v>0</v>
      </c>
      <c r="BC9" s="28">
        <f>PROGRAMADO!BC9/'Anexo '!$I$20</f>
        <v>105852674.31327264</v>
      </c>
      <c r="BD9" s="28">
        <f>PROGRAMADO!BD9/'Anexo '!$I$20</f>
        <v>105852674.31327264</v>
      </c>
      <c r="BE9" s="28">
        <f>PROGRAMADO!BE9/'Anexo '!$I$20</f>
        <v>108805386.32825993</v>
      </c>
      <c r="BF9" s="28">
        <f>PROGRAMADO!BF9/'Anexo '!$J$20</f>
        <v>0</v>
      </c>
      <c r="BG9" s="28">
        <f>PROGRAMADO!BG9/'Anexo '!$J$20</f>
        <v>2920349.085813256</v>
      </c>
      <c r="BH9" s="28">
        <f>PROGRAMADO!BH9/'Anexo '!$J$20</f>
        <v>2920349.085813256</v>
      </c>
      <c r="BI9" s="28">
        <f>PROGRAMADO!BI9/'Anexo '!$J$20</f>
        <v>0</v>
      </c>
      <c r="BJ9" s="28">
        <f>PROGRAMADO!BJ9/'Anexo '!$J$20</f>
        <v>86297514.436438501</v>
      </c>
      <c r="BK9" s="28">
        <f>PROGRAMADO!BK9/'Anexo '!$J$20</f>
        <v>86297514.436438501</v>
      </c>
      <c r="BL9" s="28">
        <f>PROGRAMADO!BL9/'Anexo '!$J$20</f>
        <v>89217863.522251755</v>
      </c>
      <c r="BM9" s="28">
        <f>PROGRAMADO!BM9/'Anexo '!$K$20</f>
        <v>0</v>
      </c>
      <c r="BN9" s="28">
        <f>PROGRAMADO!BN9/'Anexo '!$K$20</f>
        <v>67213239.307310224</v>
      </c>
      <c r="BO9" s="28">
        <f>PROGRAMADO!BO9/'Anexo '!$K$20</f>
        <v>67213239.307310224</v>
      </c>
      <c r="BP9" s="28">
        <f>PROGRAMADO!BP9/'Anexo '!$K$20</f>
        <v>0</v>
      </c>
      <c r="BQ9" s="28">
        <f>PROGRAMADO!BQ9/'Anexo '!$K$20</f>
        <v>22507570.435905542</v>
      </c>
      <c r="BR9" s="28">
        <f>PROGRAMADO!BR9/'Anexo '!$K$20</f>
        <v>22507570.435905542</v>
      </c>
      <c r="BS9" s="28">
        <f>PROGRAMADO!BS9/'Anexo '!$K$20</f>
        <v>89720809.74321577</v>
      </c>
      <c r="BT9" s="28">
        <f>PROGRAMADO!BT9/'Anexo '!$L$20</f>
        <v>0</v>
      </c>
      <c r="BU9" s="28">
        <f>PROGRAMADO!BU9/'Anexo '!$L$20</f>
        <v>72669614.61249125</v>
      </c>
      <c r="BV9" s="28">
        <f>PROGRAMADO!BV9/'Anexo '!$L$20</f>
        <v>0</v>
      </c>
      <c r="BW9" s="28">
        <f>PROGRAMADO!BW9/'Anexo '!$L$20</f>
        <v>72669614.61249125</v>
      </c>
      <c r="BX9" s="28">
        <f>PROGRAMADO!BX9/'Anexo '!$L$20</f>
        <v>0</v>
      </c>
      <c r="BY9" s="28">
        <f>PROGRAMADO!BY9/'Anexo '!$L$20</f>
        <v>70356479.786047205</v>
      </c>
      <c r="BZ9" s="28">
        <f>PROGRAMADO!BZ9/'Anexo '!$L$20</f>
        <v>70356479.786047205</v>
      </c>
      <c r="CA9" s="28">
        <f>PROGRAMADO!CA9/'Anexo '!$L$20</f>
        <v>143026094.39853847</v>
      </c>
      <c r="CB9" s="28">
        <f>PROGRAMADO!CB9/'Anexo '!$M$20</f>
        <v>0</v>
      </c>
      <c r="CC9" s="28">
        <f>PROGRAMADO!CC9/'Anexo '!$M$20</f>
        <v>33936571.481906593</v>
      </c>
      <c r="CD9" s="28">
        <f>PROGRAMADO!CD9/'Anexo '!$M$20</f>
        <v>0</v>
      </c>
      <c r="CE9" s="28">
        <f>PROGRAMADO!CE9/'Anexo '!$M$20</f>
        <v>33936571.481906593</v>
      </c>
      <c r="CF9" s="28">
        <f>PROGRAMADO!CF9/'Anexo '!$M$20</f>
        <v>0</v>
      </c>
      <c r="CG9" s="28">
        <f>PROGRAMADO!CG9/'Anexo '!$M$20</f>
        <v>86065605.679547563</v>
      </c>
      <c r="CH9" s="28">
        <f>PROGRAMADO!CH9/'Anexo '!$M$20</f>
        <v>86065605.679547563</v>
      </c>
      <c r="CI9" s="29">
        <f>PROGRAMADO!CI9/'Anexo '!$M$20</f>
        <v>120002177.16145414</v>
      </c>
    </row>
    <row r="10" spans="1:87" x14ac:dyDescent="0.25">
      <c r="A10" s="23" t="s">
        <v>4</v>
      </c>
      <c r="B10" s="28">
        <f>PROGRAMADO!B10/'Anexo '!$B$20</f>
        <v>0</v>
      </c>
      <c r="C10" s="28">
        <f>PROGRAMADO!C10/'Anexo '!$B$20</f>
        <v>54398606.702722862</v>
      </c>
      <c r="D10" s="28">
        <f>PROGRAMADO!D10/'Anexo '!$B$20</f>
        <v>54398606.702722862</v>
      </c>
      <c r="E10" s="28">
        <f>PROGRAMADO!E10/'Anexo '!$B$20</f>
        <v>215877346.85487425</v>
      </c>
      <c r="F10" s="28">
        <f>PROGRAMADO!F10/'Anexo '!$B$20</f>
        <v>61144510.350568056</v>
      </c>
      <c r="G10" s="28">
        <f>PROGRAMADO!G10/'Anexo '!$B$20</f>
        <v>277021857.20544231</v>
      </c>
      <c r="H10" s="28">
        <f>PROGRAMADO!H10/'Anexo '!$B$20</f>
        <v>331420463.90816516</v>
      </c>
      <c r="I10" s="28">
        <f>PROGRAMADO!I10/'Anexo '!$C$20</f>
        <v>0</v>
      </c>
      <c r="J10" s="28">
        <f>PROGRAMADO!J10/'Anexo '!$C$20</f>
        <v>106868507.51936178</v>
      </c>
      <c r="K10" s="28">
        <f>PROGRAMADO!K10/'Anexo '!$C$20</f>
        <v>106868507.51936178</v>
      </c>
      <c r="L10" s="28">
        <f>PROGRAMADO!L10/'Anexo '!$C$20</f>
        <v>303212553.6416024</v>
      </c>
      <c r="M10" s="28">
        <f>PROGRAMADO!M10/'Anexo '!$C$20</f>
        <v>223371414.27949813</v>
      </c>
      <c r="N10" s="28">
        <f>PROGRAMADO!N10/'Anexo '!$C$20</f>
        <v>526583967.92110056</v>
      </c>
      <c r="O10" s="28">
        <f>PROGRAMADO!O10/'Anexo '!$C$20</f>
        <v>633452475.44046235</v>
      </c>
      <c r="P10" s="28">
        <f>PROGRAMADO!P10/'Anexo '!$D$20</f>
        <v>0</v>
      </c>
      <c r="Q10" s="28">
        <f>PROGRAMADO!Q10/'Anexo '!$D$20</f>
        <v>103532855.44106109</v>
      </c>
      <c r="R10" s="28">
        <f>PROGRAMADO!R10/'Anexo '!$D$20</f>
        <v>103532855.44106109</v>
      </c>
      <c r="S10" s="28">
        <f>PROGRAMADO!S10/'Anexo '!$D$20</f>
        <v>322522289.68669415</v>
      </c>
      <c r="T10" s="28">
        <f>PROGRAMADO!T10/'Anexo '!$D$20</f>
        <v>261837881.38688898</v>
      </c>
      <c r="U10" s="28">
        <f>PROGRAMADO!U10/'Anexo '!$D$20</f>
        <v>584360171.07358313</v>
      </c>
      <c r="V10" s="28">
        <f>PROGRAMADO!V10/'Anexo '!$D$20</f>
        <v>687893026.51464415</v>
      </c>
      <c r="W10" s="28">
        <f>PROGRAMADO!W10/'Anexo '!$E$13</f>
        <v>0</v>
      </c>
      <c r="X10" s="28">
        <f>PROGRAMADO!X10/'Anexo '!$E$13</f>
        <v>102730663.91798441</v>
      </c>
      <c r="Y10" s="28">
        <f>PROGRAMADO!Y10/'Anexo '!$E$13</f>
        <v>102730663.91798441</v>
      </c>
      <c r="Z10" s="28">
        <f>PROGRAMADO!Z10/'Anexo '!$E$13</f>
        <v>337098342.05477512</v>
      </c>
      <c r="AA10" s="28">
        <f>PROGRAMADO!AA10/'Anexo '!$E$13</f>
        <v>145547221.95010588</v>
      </c>
      <c r="AB10" s="28">
        <f>PROGRAMADO!AB10/'Anexo '!$E$13</f>
        <v>482645564.00488096</v>
      </c>
      <c r="AC10" s="28">
        <f>PROGRAMADO!AC10/'Anexo '!$E$13</f>
        <v>585376227.92286539</v>
      </c>
      <c r="AD10" s="28">
        <f>PROGRAMADO!AD10/'Anexo '!$F$20</f>
        <v>0</v>
      </c>
      <c r="AE10" s="28">
        <f>PROGRAMADO!AE10/'Anexo '!$F$20</f>
        <v>186200000.00000003</v>
      </c>
      <c r="AF10" s="28">
        <f>PROGRAMADO!AF10/'Anexo '!$F$20</f>
        <v>186200000.00000003</v>
      </c>
      <c r="AG10" s="28">
        <f>PROGRAMADO!AG10/'Anexo '!$F$20</f>
        <v>360078577.00000006</v>
      </c>
      <c r="AH10" s="28">
        <f>PROGRAMADO!AH10/'Anexo '!$F$20</f>
        <v>150657334.00000003</v>
      </c>
      <c r="AI10" s="28">
        <f>PROGRAMADO!AI10/'Anexo '!$F$20</f>
        <v>510735911.00000012</v>
      </c>
      <c r="AJ10" s="28">
        <f>PROGRAMADO!AJ10/'Anexo '!$F$20</f>
        <v>696935911.00000012</v>
      </c>
      <c r="AK10" s="28">
        <f>PROGRAMADO!AK10/'Anexo '!$G$20</f>
        <v>0</v>
      </c>
      <c r="AL10" s="28">
        <f>PROGRAMADO!AL10/'Anexo '!$G$20</f>
        <v>125993160.00756374</v>
      </c>
      <c r="AM10" s="28">
        <f>PROGRAMADO!AM10/'Anexo '!$G$20</f>
        <v>125993160.00756374</v>
      </c>
      <c r="AN10" s="28">
        <f>PROGRAMADO!AN10/'Anexo '!$G$20</f>
        <v>446803580.16961378</v>
      </c>
      <c r="AO10" s="28">
        <f>PROGRAMADO!AO10/'Anexo '!$G$20</f>
        <v>172263841.08741647</v>
      </c>
      <c r="AP10" s="28">
        <f>PROGRAMADO!AP10/'Anexo '!$G$20</f>
        <v>619067421.25703025</v>
      </c>
      <c r="AQ10" s="28">
        <f>PROGRAMADO!AQ10/'Anexo '!$G$20</f>
        <v>745060581.26459396</v>
      </c>
      <c r="AR10" s="28">
        <f>PROGRAMADO!AR10/'Anexo '!$H$20</f>
        <v>0</v>
      </c>
      <c r="AS10" s="28">
        <f>PROGRAMADO!AS10/'Anexo '!$H$20</f>
        <v>87706904.512787983</v>
      </c>
      <c r="AT10" s="28">
        <f>PROGRAMADO!AT10/'Anexo '!$H$20</f>
        <v>87706904.512787983</v>
      </c>
      <c r="AU10" s="28">
        <f>PROGRAMADO!AU10/'Anexo '!$H$20</f>
        <v>286064722.13063329</v>
      </c>
      <c r="AV10" s="28">
        <f>PROGRAMADO!AV10/'Anexo '!$H$20</f>
        <v>80770797.000037134</v>
      </c>
      <c r="AW10" s="28">
        <f>PROGRAMADO!AW10/'Anexo '!$H$20</f>
        <v>366835519.13067043</v>
      </c>
      <c r="AX10" s="28">
        <f>PROGRAMADO!AX10/'Anexo '!$H$20</f>
        <v>454542423.64345843</v>
      </c>
      <c r="AY10" s="28">
        <f>PROGRAMADO!AY10/'Anexo '!$I$20</f>
        <v>0</v>
      </c>
      <c r="AZ10" s="28">
        <f>PROGRAMADO!AZ10/'Anexo '!$I$20</f>
        <v>155701462.68961155</v>
      </c>
      <c r="BA10" s="28">
        <f>PROGRAMADO!BA10/'Anexo '!$I$20</f>
        <v>155701462.68961155</v>
      </c>
      <c r="BB10" s="28">
        <f>PROGRAMADO!BB10/'Anexo '!$I$20</f>
        <v>80605777.422244981</v>
      </c>
      <c r="BC10" s="28">
        <f>PROGRAMADO!BC10/'Anexo '!$I$20</f>
        <v>168487612.39828864</v>
      </c>
      <c r="BD10" s="28">
        <f>PROGRAMADO!BD10/'Anexo '!$I$20</f>
        <v>249093389.8205336</v>
      </c>
      <c r="BE10" s="28">
        <f>PROGRAMADO!BE10/'Anexo '!$I$20</f>
        <v>404794852.51014519</v>
      </c>
      <c r="BF10" s="28">
        <f>PROGRAMADO!BF10/'Anexo '!$J$20</f>
        <v>0</v>
      </c>
      <c r="BG10" s="28">
        <f>PROGRAMADO!BG10/'Anexo '!$J$20</f>
        <v>97268213.520990029</v>
      </c>
      <c r="BH10" s="28">
        <f>PROGRAMADO!BH10/'Anexo '!$J$20</f>
        <v>97268213.520990029</v>
      </c>
      <c r="BI10" s="28">
        <f>PROGRAMADO!BI10/'Anexo '!$J$20</f>
        <v>9956524.9761543982</v>
      </c>
      <c r="BJ10" s="28">
        <f>PROGRAMADO!BJ10/'Anexo '!$J$20</f>
        <v>104301221.23445597</v>
      </c>
      <c r="BK10" s="28">
        <f>PROGRAMADO!BK10/'Anexo '!$J$20</f>
        <v>114257746.21061036</v>
      </c>
      <c r="BL10" s="28">
        <f>PROGRAMADO!BL10/'Anexo '!$J$20</f>
        <v>211525959.7316004</v>
      </c>
      <c r="BM10" s="28">
        <f>PROGRAMADO!BM10/'Anexo '!$K$20</f>
        <v>0</v>
      </c>
      <c r="BN10" s="28">
        <f>PROGRAMADO!BN10/'Anexo '!$K$20</f>
        <v>126205270.73766439</v>
      </c>
      <c r="BO10" s="28">
        <f>PROGRAMADO!BO10/'Anexo '!$K$20</f>
        <v>126205270.73766439</v>
      </c>
      <c r="BP10" s="28">
        <f>PROGRAMADO!BP10/'Anexo '!$K$20</f>
        <v>21660709.653930351</v>
      </c>
      <c r="BQ10" s="28">
        <f>PROGRAMADO!BQ10/'Anexo '!$K$20</f>
        <v>1308827.9468306603</v>
      </c>
      <c r="BR10" s="28">
        <f>PROGRAMADO!BR10/'Anexo '!$K$20</f>
        <v>22969537.600761011</v>
      </c>
      <c r="BS10" s="28">
        <f>PROGRAMADO!BS10/'Anexo '!$K$20</f>
        <v>149174808.3384254</v>
      </c>
      <c r="BT10" s="28">
        <f>PROGRAMADO!BT10/'Anexo '!$L$20</f>
        <v>0</v>
      </c>
      <c r="BU10" s="28">
        <f>PROGRAMADO!BU10/'Anexo '!$L$20</f>
        <v>169368251.39935225</v>
      </c>
      <c r="BV10" s="28">
        <f>PROGRAMADO!BV10/'Anexo '!$L$20</f>
        <v>0</v>
      </c>
      <c r="BW10" s="28">
        <f>PROGRAMADO!BW10/'Anexo '!$L$20</f>
        <v>169368251.39935225</v>
      </c>
      <c r="BX10" s="28">
        <f>PROGRAMADO!BX10/'Anexo '!$L$20</f>
        <v>46286939.353640363</v>
      </c>
      <c r="BY10" s="28">
        <f>PROGRAMADO!BY10/'Anexo '!$L$20</f>
        <v>49374653.399901703</v>
      </c>
      <c r="BZ10" s="28">
        <f>PROGRAMADO!BZ10/'Anexo '!$L$20</f>
        <v>95661592.753542066</v>
      </c>
      <c r="CA10" s="28">
        <f>PROGRAMADO!CA10/'Anexo '!$L$20</f>
        <v>265029844.15289432</v>
      </c>
      <c r="CB10" s="28">
        <f>PROGRAMADO!CB10/'Anexo '!$M$20</f>
        <v>0</v>
      </c>
      <c r="CC10" s="28">
        <f>PROGRAMADO!CC10/'Anexo '!$M$20</f>
        <v>216105309.14903966</v>
      </c>
      <c r="CD10" s="28">
        <f>PROGRAMADO!CD10/'Anexo '!$M$20</f>
        <v>0</v>
      </c>
      <c r="CE10" s="28">
        <f>PROGRAMADO!CE10/'Anexo '!$M$20</f>
        <v>216105309.14903966</v>
      </c>
      <c r="CF10" s="28">
        <f>PROGRAMADO!CF10/'Anexo '!$M$20</f>
        <v>40940122.824456327</v>
      </c>
      <c r="CG10" s="28">
        <f>PROGRAMADO!CG10/'Anexo '!$M$20</f>
        <v>132357823.78979816</v>
      </c>
      <c r="CH10" s="28">
        <f>PROGRAMADO!CH10/'Anexo '!$M$20</f>
        <v>173297946.61425447</v>
      </c>
      <c r="CI10" s="29">
        <f>PROGRAMADO!CI10/'Anexo '!$M$20</f>
        <v>389403255.76329416</v>
      </c>
    </row>
    <row r="11" spans="1:87" x14ac:dyDescent="0.25">
      <c r="A11" s="23" t="s">
        <v>66</v>
      </c>
      <c r="B11" s="28">
        <f>PROGRAMADO!B11/'Anexo '!$B$20</f>
        <v>0</v>
      </c>
      <c r="C11" s="28">
        <f>PROGRAMADO!C11/'Anexo '!$B$20</f>
        <v>0</v>
      </c>
      <c r="D11" s="28">
        <f>PROGRAMADO!D11/'Anexo '!$B$20</f>
        <v>0</v>
      </c>
      <c r="E11" s="28">
        <f>PROGRAMADO!E11/'Anexo '!$B$20</f>
        <v>0</v>
      </c>
      <c r="F11" s="28">
        <f>PROGRAMADO!F11/'Anexo '!$B$20</f>
        <v>0</v>
      </c>
      <c r="G11" s="28">
        <f>PROGRAMADO!G11/'Anexo '!$B$20</f>
        <v>0</v>
      </c>
      <c r="H11" s="28">
        <f>PROGRAMADO!H11/'Anexo '!$B$20</f>
        <v>0</v>
      </c>
      <c r="I11" s="28">
        <f>PROGRAMADO!I11/'Anexo '!$C$20</f>
        <v>0</v>
      </c>
      <c r="J11" s="28">
        <f>PROGRAMADO!J11/'Anexo '!$C$20</f>
        <v>0</v>
      </c>
      <c r="K11" s="28">
        <f>PROGRAMADO!K11/'Anexo '!$C$20</f>
        <v>0</v>
      </c>
      <c r="L11" s="28">
        <f>PROGRAMADO!L11/'Anexo '!$C$20</f>
        <v>0</v>
      </c>
      <c r="M11" s="28">
        <f>PROGRAMADO!M11/'Anexo '!$C$20</f>
        <v>0</v>
      </c>
      <c r="N11" s="28">
        <f>PROGRAMADO!N11/'Anexo '!$C$20</f>
        <v>0</v>
      </c>
      <c r="O11" s="28">
        <f>PROGRAMADO!O11/'Anexo '!$C$20</f>
        <v>0</v>
      </c>
      <c r="P11" s="28">
        <f>PROGRAMADO!P11/'Anexo '!$D$20</f>
        <v>0</v>
      </c>
      <c r="Q11" s="28">
        <f>PROGRAMADO!Q11/'Anexo '!$D$20</f>
        <v>19886026.298974909</v>
      </c>
      <c r="R11" s="28">
        <f>PROGRAMADO!R11/'Anexo '!$D$20</f>
        <v>19886026.298974909</v>
      </c>
      <c r="S11" s="28">
        <f>PROGRAMADO!S11/'Anexo '!$D$20</f>
        <v>0</v>
      </c>
      <c r="T11" s="28">
        <f>PROGRAMADO!T11/'Anexo '!$D$20</f>
        <v>10511308.349306239</v>
      </c>
      <c r="U11" s="28">
        <f>PROGRAMADO!U11/'Anexo '!$D$20</f>
        <v>10511308.349306239</v>
      </c>
      <c r="V11" s="28">
        <f>PROGRAMADO!V11/'Anexo '!$D$20</f>
        <v>30397334.648281146</v>
      </c>
      <c r="W11" s="28">
        <f>PROGRAMADO!W11/'Anexo '!$E$13</f>
        <v>0</v>
      </c>
      <c r="X11" s="28">
        <f>PROGRAMADO!X11/'Anexo '!$E$13</f>
        <v>23395846.780923691</v>
      </c>
      <c r="Y11" s="28">
        <f>PROGRAMADO!Y11/'Anexo '!$E$13</f>
        <v>23395846.780923691</v>
      </c>
      <c r="Z11" s="28">
        <f>PROGRAMADO!Z11/'Anexo '!$E$13</f>
        <v>27541642.948522899</v>
      </c>
      <c r="AA11" s="28">
        <f>PROGRAMADO!AA11/'Anexo '!$E$13</f>
        <v>1905339.2309870364</v>
      </c>
      <c r="AB11" s="28">
        <f>PROGRAMADO!AB11/'Anexo '!$E$13</f>
        <v>29446982.179509938</v>
      </c>
      <c r="AC11" s="28">
        <f>PROGRAMADO!AC11/'Anexo '!$E$13</f>
        <v>52842828.960433625</v>
      </c>
      <c r="AD11" s="28">
        <f>PROGRAMADO!AD11/'Anexo '!$F$20</f>
        <v>0</v>
      </c>
      <c r="AE11" s="28">
        <f>PROGRAMADO!AE11/'Anexo '!$F$20</f>
        <v>28955624.000000007</v>
      </c>
      <c r="AF11" s="28">
        <f>PROGRAMADO!AF11/'Anexo '!$F$20</f>
        <v>28955624.000000007</v>
      </c>
      <c r="AG11" s="28">
        <f>PROGRAMADO!AG11/'Anexo '!$F$20</f>
        <v>21183000.000000004</v>
      </c>
      <c r="AH11" s="28">
        <f>PROGRAMADO!AH11/'Anexo '!$F$20</f>
        <v>0</v>
      </c>
      <c r="AI11" s="28">
        <f>PROGRAMADO!AI11/'Anexo '!$F$20</f>
        <v>21183000.000000004</v>
      </c>
      <c r="AJ11" s="28">
        <f>PROGRAMADO!AJ11/'Anexo '!$F$20</f>
        <v>50138624.000000007</v>
      </c>
      <c r="AK11" s="28">
        <f>PROGRAMADO!AK11/'Anexo '!$G$20</f>
        <v>0</v>
      </c>
      <c r="AL11" s="28">
        <f>PROGRAMADO!AL11/'Anexo '!$G$20</f>
        <v>24703727.713293198</v>
      </c>
      <c r="AM11" s="28">
        <f>PROGRAMADO!AM11/'Anexo '!$G$20</f>
        <v>24703727.713293198</v>
      </c>
      <c r="AN11" s="28">
        <f>PROGRAMADO!AN11/'Anexo '!$G$20</f>
        <v>18179286.624323316</v>
      </c>
      <c r="AO11" s="28">
        <f>PROGRAMADO!AO11/'Anexo '!$G$20</f>
        <v>0</v>
      </c>
      <c r="AP11" s="28">
        <f>PROGRAMADO!AP11/'Anexo '!$G$20</f>
        <v>18179286.624323316</v>
      </c>
      <c r="AQ11" s="28">
        <f>PROGRAMADO!AQ11/'Anexo '!$G$20</f>
        <v>42883014.337616511</v>
      </c>
      <c r="AR11" s="28">
        <f>PROGRAMADO!AR11/'Anexo '!$H$20</f>
        <v>0</v>
      </c>
      <c r="AS11" s="28">
        <f>PROGRAMADO!AS11/'Anexo '!$H$20</f>
        <v>21662212.679028399</v>
      </c>
      <c r="AT11" s="28">
        <f>PROGRAMADO!AT11/'Anexo '!$H$20</f>
        <v>21662212.679028399</v>
      </c>
      <c r="AU11" s="28">
        <f>PROGRAMADO!AU11/'Anexo '!$H$20</f>
        <v>0</v>
      </c>
      <c r="AV11" s="28">
        <f>PROGRAMADO!AV11/'Anexo '!$H$20</f>
        <v>43168027.377658203</v>
      </c>
      <c r="AW11" s="28">
        <f>PROGRAMADO!AW11/'Anexo '!$H$20</f>
        <v>43168027.377658203</v>
      </c>
      <c r="AX11" s="28">
        <f>PROGRAMADO!AX11/'Anexo '!$H$20</f>
        <v>64830240.056686603</v>
      </c>
      <c r="AY11" s="28">
        <f>PROGRAMADO!AY11/'Anexo '!$I$20</f>
        <v>0</v>
      </c>
      <c r="AZ11" s="28">
        <f>PROGRAMADO!AZ11/'Anexo '!$I$20</f>
        <v>33124024.773341537</v>
      </c>
      <c r="BA11" s="28">
        <f>PROGRAMADO!BA11/'Anexo '!$I$20</f>
        <v>33124024.773341537</v>
      </c>
      <c r="BB11" s="28">
        <f>PROGRAMADO!BB11/'Anexo '!$I$20</f>
        <v>0</v>
      </c>
      <c r="BC11" s="28">
        <f>PROGRAMADO!BC11/'Anexo '!$I$20</f>
        <v>100793630.43727869</v>
      </c>
      <c r="BD11" s="28">
        <f>PROGRAMADO!BD11/'Anexo '!$I$20</f>
        <v>100793630.43727869</v>
      </c>
      <c r="BE11" s="28">
        <f>PROGRAMADO!BE11/'Anexo '!$I$20</f>
        <v>133917655.21062022</v>
      </c>
      <c r="BF11" s="28">
        <f>PROGRAMADO!BF11/'Anexo '!$J$20</f>
        <v>0</v>
      </c>
      <c r="BG11" s="28">
        <f>PROGRAMADO!BG11/'Anexo '!$J$20</f>
        <v>0</v>
      </c>
      <c r="BH11" s="28">
        <f>PROGRAMADO!BH11/'Anexo '!$J$20</f>
        <v>0</v>
      </c>
      <c r="BI11" s="28">
        <f>PROGRAMADO!BI11/'Anexo '!$J$20</f>
        <v>0</v>
      </c>
      <c r="BJ11" s="28">
        <f>PROGRAMADO!BJ11/'Anexo '!$J$20</f>
        <v>0</v>
      </c>
      <c r="BK11" s="28">
        <f>PROGRAMADO!BK11/'Anexo '!$J$20</f>
        <v>0</v>
      </c>
      <c r="BL11" s="28">
        <f>PROGRAMADO!BL11/'Anexo '!$J$20</f>
        <v>0</v>
      </c>
      <c r="BM11" s="28">
        <f>PROGRAMADO!BM11/'Anexo '!$K$20</f>
        <v>0</v>
      </c>
      <c r="BN11" s="28">
        <f>PROGRAMADO!BN11/'Anexo '!$K$20</f>
        <v>0</v>
      </c>
      <c r="BO11" s="28">
        <f>PROGRAMADO!BO11/'Anexo '!$K$20</f>
        <v>0</v>
      </c>
      <c r="BP11" s="28">
        <f>PROGRAMADO!BP11/'Anexo '!$K$20</f>
        <v>0</v>
      </c>
      <c r="BQ11" s="28">
        <f>PROGRAMADO!BQ11/'Anexo '!$K$20</f>
        <v>0</v>
      </c>
      <c r="BR11" s="28">
        <f>PROGRAMADO!BR11/'Anexo '!$K$20</f>
        <v>0</v>
      </c>
      <c r="BS11" s="28">
        <f>PROGRAMADO!BS11/'Anexo '!$K$20</f>
        <v>0</v>
      </c>
      <c r="BT11" s="28">
        <f>PROGRAMADO!BT11/'Anexo '!$L$20</f>
        <v>0</v>
      </c>
      <c r="BU11" s="28">
        <f>PROGRAMADO!BU11/'Anexo '!$L$20</f>
        <v>0</v>
      </c>
      <c r="BV11" s="28">
        <f>PROGRAMADO!BV11/'Anexo '!$L$20</f>
        <v>0</v>
      </c>
      <c r="BW11" s="28">
        <f>PROGRAMADO!BW11/'Anexo '!$L$20</f>
        <v>0</v>
      </c>
      <c r="BX11" s="28">
        <f>PROGRAMADO!BX11/'Anexo '!$L$20</f>
        <v>0</v>
      </c>
      <c r="BY11" s="28">
        <f>PROGRAMADO!BY11/'Anexo '!$L$20</f>
        <v>0</v>
      </c>
      <c r="BZ11" s="28">
        <f>PROGRAMADO!BZ11/'Anexo '!$L$20</f>
        <v>0</v>
      </c>
      <c r="CA11" s="28">
        <f>PROGRAMADO!CA11/'Anexo '!$L$20</f>
        <v>0</v>
      </c>
      <c r="CB11" s="28">
        <f>PROGRAMADO!CB11/'Anexo '!$M$20</f>
        <v>0</v>
      </c>
      <c r="CC11" s="28">
        <f>PROGRAMADO!CC11/'Anexo '!$M$20</f>
        <v>0</v>
      </c>
      <c r="CD11" s="28">
        <f>PROGRAMADO!CD11/'Anexo '!$M$20</f>
        <v>0</v>
      </c>
      <c r="CE11" s="28">
        <f>PROGRAMADO!CE11/'Anexo '!$M$20</f>
        <v>0</v>
      </c>
      <c r="CF11" s="28">
        <f>PROGRAMADO!CF11/'Anexo '!$M$20</f>
        <v>0</v>
      </c>
      <c r="CG11" s="28">
        <f>PROGRAMADO!CG11/'Anexo '!$M$20</f>
        <v>0</v>
      </c>
      <c r="CH11" s="28">
        <f>PROGRAMADO!CH11/'Anexo '!$M$20</f>
        <v>0</v>
      </c>
      <c r="CI11" s="29">
        <f>PROGRAMADO!CI11/'Anexo '!$M$20</f>
        <v>0</v>
      </c>
    </row>
    <row r="12" spans="1:87" x14ac:dyDescent="0.25">
      <c r="A12" s="23" t="s">
        <v>5</v>
      </c>
      <c r="B12" s="28">
        <f>PROGRAMADO!B12/'Anexo '!$B$20</f>
        <v>0</v>
      </c>
      <c r="C12" s="28">
        <f>PROGRAMADO!C12/'Anexo '!$B$20</f>
        <v>20154047.161193933</v>
      </c>
      <c r="D12" s="28">
        <f>PROGRAMADO!D12/'Anexo '!$B$20</f>
        <v>20154047.161193933</v>
      </c>
      <c r="E12" s="28">
        <f>PROGRAMADO!E12/'Anexo '!$B$20</f>
        <v>62168352.045968533</v>
      </c>
      <c r="F12" s="28">
        <f>PROGRAMADO!F12/'Anexo '!$B$20</f>
        <v>49028691.732194752</v>
      </c>
      <c r="G12" s="28">
        <f>PROGRAMADO!G12/'Anexo '!$B$20</f>
        <v>111197043.77816328</v>
      </c>
      <c r="H12" s="28">
        <f>PROGRAMADO!H12/'Anexo '!$B$20</f>
        <v>131351090.93935722</v>
      </c>
      <c r="I12" s="28">
        <f>PROGRAMADO!I12/'Anexo '!$C$20</f>
        <v>0</v>
      </c>
      <c r="J12" s="28">
        <f>PROGRAMADO!J12/'Anexo '!$C$20</f>
        <v>30619599.257797923</v>
      </c>
      <c r="K12" s="28">
        <f>PROGRAMADO!K12/'Anexo '!$C$20</f>
        <v>30619599.257797923</v>
      </c>
      <c r="L12" s="28">
        <f>PROGRAMADO!L12/'Anexo '!$C$20</f>
        <v>39763127.764027089</v>
      </c>
      <c r="M12" s="28">
        <f>PROGRAMADO!M12/'Anexo '!$C$20</f>
        <v>71375875.899276778</v>
      </c>
      <c r="N12" s="28">
        <f>PROGRAMADO!N12/'Anexo '!$C$20</f>
        <v>111139003.66330387</v>
      </c>
      <c r="O12" s="28">
        <f>PROGRAMADO!O12/'Anexo '!$C$20</f>
        <v>141758602.92110178</v>
      </c>
      <c r="P12" s="28">
        <f>PROGRAMADO!P12/'Anexo '!$D$20</f>
        <v>0</v>
      </c>
      <c r="Q12" s="28">
        <f>PROGRAMADO!Q12/'Anexo '!$D$20</f>
        <v>25764106.283618651</v>
      </c>
      <c r="R12" s="28">
        <f>PROGRAMADO!R12/'Anexo '!$D$20</f>
        <v>25764106.283618651</v>
      </c>
      <c r="S12" s="28">
        <f>PROGRAMADO!S12/'Anexo '!$D$20</f>
        <v>171334574.42335147</v>
      </c>
      <c r="T12" s="28">
        <f>PROGRAMADO!T12/'Anexo '!$D$20</f>
        <v>90905736.345431343</v>
      </c>
      <c r="U12" s="28">
        <f>PROGRAMADO!U12/'Anexo '!$D$20</f>
        <v>262240310.76878279</v>
      </c>
      <c r="V12" s="28">
        <f>PROGRAMADO!V12/'Anexo '!$D$20</f>
        <v>288004417.05240142</v>
      </c>
      <c r="W12" s="28">
        <f>PROGRAMADO!W12/'Anexo '!$E$13</f>
        <v>0</v>
      </c>
      <c r="X12" s="28">
        <f>PROGRAMADO!X12/'Anexo '!$E$13</f>
        <v>19105174.609407935</v>
      </c>
      <c r="Y12" s="28">
        <f>PROGRAMADO!Y12/'Anexo '!$E$13</f>
        <v>19105174.609407935</v>
      </c>
      <c r="Z12" s="28">
        <f>PROGRAMADO!Z12/'Anexo '!$E$13</f>
        <v>48697751.077472717</v>
      </c>
      <c r="AA12" s="28">
        <f>PROGRAMADO!AA12/'Anexo '!$E$13</f>
        <v>137106836.50594479</v>
      </c>
      <c r="AB12" s="28">
        <f>PROGRAMADO!AB12/'Anexo '!$E$13</f>
        <v>185804587.58341751</v>
      </c>
      <c r="AC12" s="28">
        <f>PROGRAMADO!AC12/'Anexo '!$E$13</f>
        <v>204909762.19282544</v>
      </c>
      <c r="AD12" s="28">
        <f>PROGRAMADO!AD12/'Anexo '!$F$20</f>
        <v>0</v>
      </c>
      <c r="AE12" s="28">
        <f>PROGRAMADO!AE12/'Anexo '!$F$20</f>
        <v>35305000.000000007</v>
      </c>
      <c r="AF12" s="28">
        <f>PROGRAMADO!AF12/'Anexo '!$F$20</f>
        <v>35305000.000000007</v>
      </c>
      <c r="AG12" s="28">
        <f>PROGRAMADO!AG12/'Anexo '!$F$20</f>
        <v>106940832.00000003</v>
      </c>
      <c r="AH12" s="28">
        <f>PROGRAMADO!AH12/'Anexo '!$F$20</f>
        <v>103154877.00000003</v>
      </c>
      <c r="AI12" s="28">
        <f>PROGRAMADO!AI12/'Anexo '!$F$20</f>
        <v>210095709.00000006</v>
      </c>
      <c r="AJ12" s="28">
        <f>PROGRAMADO!AJ12/'Anexo '!$F$20</f>
        <v>245400709.00000006</v>
      </c>
      <c r="AK12" s="28">
        <f>PROGRAMADO!AK12/'Anexo '!$G$20</f>
        <v>0</v>
      </c>
      <c r="AL12" s="28">
        <f>PROGRAMADO!AL12/'Anexo '!$G$20</f>
        <v>17073297.054281641</v>
      </c>
      <c r="AM12" s="28">
        <f>PROGRAMADO!AM12/'Anexo '!$G$20</f>
        <v>17073297.054281641</v>
      </c>
      <c r="AN12" s="28">
        <f>PROGRAMADO!AN12/'Anexo '!$G$20</f>
        <v>98584702.906231642</v>
      </c>
      <c r="AO12" s="28">
        <f>PROGRAMADO!AO12/'Anexo '!$G$20</f>
        <v>66975319.137478769</v>
      </c>
      <c r="AP12" s="28">
        <f>PROGRAMADO!AP12/'Anexo '!$G$20</f>
        <v>165560022.04371041</v>
      </c>
      <c r="AQ12" s="28">
        <f>PROGRAMADO!AQ12/'Anexo '!$G$20</f>
        <v>182633319.09799206</v>
      </c>
      <c r="AR12" s="28">
        <f>PROGRAMADO!AR12/'Anexo '!$H$20</f>
        <v>0</v>
      </c>
      <c r="AS12" s="28">
        <f>PROGRAMADO!AS12/'Anexo '!$H$20</f>
        <v>7150700.291333206</v>
      </c>
      <c r="AT12" s="28">
        <f>PROGRAMADO!AT12/'Anexo '!$H$20</f>
        <v>7150700.291333206</v>
      </c>
      <c r="AU12" s="28">
        <f>PROGRAMADO!AU12/'Anexo '!$H$20</f>
        <v>56592891.157100767</v>
      </c>
      <c r="AV12" s="28">
        <f>PROGRAMADO!AV12/'Anexo '!$H$20</f>
        <v>30179081.410116095</v>
      </c>
      <c r="AW12" s="28">
        <f>PROGRAMADO!AW12/'Anexo '!$H$20</f>
        <v>86771972.567216858</v>
      </c>
      <c r="AX12" s="28">
        <f>PROGRAMADO!AX12/'Anexo '!$H$20</f>
        <v>93922672.858550057</v>
      </c>
      <c r="AY12" s="28">
        <f>PROGRAMADO!AY12/'Anexo '!$I$20</f>
        <v>0</v>
      </c>
      <c r="AZ12" s="28">
        <f>PROGRAMADO!AZ12/'Anexo '!$I$20</f>
        <v>0</v>
      </c>
      <c r="BA12" s="28">
        <f>PROGRAMADO!BA12/'Anexo '!$I$20</f>
        <v>0</v>
      </c>
      <c r="BB12" s="28">
        <f>PROGRAMADO!BB12/'Anexo '!$I$20</f>
        <v>3016663.0707615749</v>
      </c>
      <c r="BC12" s="28">
        <f>PROGRAMADO!BC12/'Anexo '!$I$20</f>
        <v>0</v>
      </c>
      <c r="BD12" s="28">
        <f>PROGRAMADO!BD12/'Anexo '!$I$20</f>
        <v>3016663.0707615749</v>
      </c>
      <c r="BE12" s="28">
        <f>PROGRAMADO!BE12/'Anexo '!$I$20</f>
        <v>3016663.0707615749</v>
      </c>
      <c r="BF12" s="28">
        <f>PROGRAMADO!BF12/'Anexo '!$J$20</f>
        <v>0</v>
      </c>
      <c r="BG12" s="28">
        <f>PROGRAMADO!BG12/'Anexo '!$J$20</f>
        <v>0</v>
      </c>
      <c r="BH12" s="28">
        <f>PROGRAMADO!BH12/'Anexo '!$J$20</f>
        <v>0</v>
      </c>
      <c r="BI12" s="28">
        <f>PROGRAMADO!BI12/'Anexo '!$J$20</f>
        <v>1042856.8259951228</v>
      </c>
      <c r="BJ12" s="28">
        <f>PROGRAMADO!BJ12/'Anexo '!$J$20</f>
        <v>0</v>
      </c>
      <c r="BK12" s="28">
        <f>PROGRAMADO!BK12/'Anexo '!$J$20</f>
        <v>1042856.8259951228</v>
      </c>
      <c r="BL12" s="28">
        <f>PROGRAMADO!BL12/'Anexo '!$J$20</f>
        <v>1042856.8259951228</v>
      </c>
      <c r="BM12" s="28">
        <f>PROGRAMADO!BM12/'Anexo '!$K$20</f>
        <v>0</v>
      </c>
      <c r="BN12" s="28">
        <f>PROGRAMADO!BN12/'Anexo '!$K$20</f>
        <v>0</v>
      </c>
      <c r="BO12" s="28">
        <f>PROGRAMADO!BO12/'Anexo '!$K$20</f>
        <v>0</v>
      </c>
      <c r="BP12" s="28">
        <f>PROGRAMADO!BP12/'Anexo '!$K$20</f>
        <v>0</v>
      </c>
      <c r="BQ12" s="28">
        <f>PROGRAMADO!BQ12/'Anexo '!$K$20</f>
        <v>0</v>
      </c>
      <c r="BR12" s="28">
        <f>PROGRAMADO!BR12/'Anexo '!$K$20</f>
        <v>0</v>
      </c>
      <c r="BS12" s="28">
        <f>PROGRAMADO!BS12/'Anexo '!$K$20</f>
        <v>0</v>
      </c>
      <c r="BT12" s="28">
        <f>PROGRAMADO!BT12/'Anexo '!$L$20</f>
        <v>0</v>
      </c>
      <c r="BU12" s="28">
        <f>PROGRAMADO!BU12/'Anexo '!$L$20</f>
        <v>0</v>
      </c>
      <c r="BV12" s="28">
        <f>PROGRAMADO!BV12/'Anexo '!$L$20</f>
        <v>0</v>
      </c>
      <c r="BW12" s="28">
        <f>PROGRAMADO!BW12/'Anexo '!$L$20</f>
        <v>0</v>
      </c>
      <c r="BX12" s="28">
        <f>PROGRAMADO!BX12/'Anexo '!$L$20</f>
        <v>0</v>
      </c>
      <c r="BY12" s="28">
        <f>PROGRAMADO!BY12/'Anexo '!$L$20</f>
        <v>0</v>
      </c>
      <c r="BZ12" s="28">
        <f>PROGRAMADO!BZ12/'Anexo '!$L$20</f>
        <v>0</v>
      </c>
      <c r="CA12" s="28">
        <f>PROGRAMADO!CA12/'Anexo '!$L$20</f>
        <v>0</v>
      </c>
      <c r="CB12" s="28">
        <f>PROGRAMADO!CB12/'Anexo '!$M$20</f>
        <v>0</v>
      </c>
      <c r="CC12" s="28">
        <f>PROGRAMADO!CC12/'Anexo '!$M$20</f>
        <v>0</v>
      </c>
      <c r="CD12" s="28">
        <f>PROGRAMADO!CD12/'Anexo '!$M$20</f>
        <v>0</v>
      </c>
      <c r="CE12" s="28">
        <f>PROGRAMADO!CE12/'Anexo '!$M$20</f>
        <v>0</v>
      </c>
      <c r="CF12" s="28">
        <f>PROGRAMADO!CF12/'Anexo '!$M$20</f>
        <v>0</v>
      </c>
      <c r="CG12" s="28">
        <f>PROGRAMADO!CG12/'Anexo '!$M$20</f>
        <v>0</v>
      </c>
      <c r="CH12" s="28">
        <f>PROGRAMADO!CH12/'Anexo '!$M$20</f>
        <v>0</v>
      </c>
      <c r="CI12" s="29">
        <f>PROGRAMADO!CI12/'Anexo '!$M$20</f>
        <v>0</v>
      </c>
    </row>
    <row r="13" spans="1:87" x14ac:dyDescent="0.25">
      <c r="A13" s="23" t="s">
        <v>81</v>
      </c>
      <c r="B13" s="28">
        <f>PROGRAMADO!B13/'Anexo '!$B$20</f>
        <v>0</v>
      </c>
      <c r="C13" s="28">
        <f>PROGRAMADO!C13/'Anexo '!$B$20</f>
        <v>127951591.07725775</v>
      </c>
      <c r="D13" s="28">
        <f>PROGRAMADO!D13/'Anexo '!$B$20</f>
        <v>127951591.07725775</v>
      </c>
      <c r="E13" s="28">
        <f>PROGRAMADO!E13/'Anexo '!$B$20</f>
        <v>374372231.4978416</v>
      </c>
      <c r="F13" s="28">
        <f>PROGRAMADO!F13/'Anexo '!$B$20</f>
        <v>168242571.84794006</v>
      </c>
      <c r="G13" s="28">
        <f>PROGRAMADO!G13/'Anexo '!$B$20</f>
        <v>542614803.34578168</v>
      </c>
      <c r="H13" s="28">
        <f>PROGRAMADO!H13/'Anexo '!$B$20</f>
        <v>670566394.42303944</v>
      </c>
      <c r="I13" s="28">
        <f>PROGRAMADO!I13/'Anexo '!$C$20</f>
        <v>0</v>
      </c>
      <c r="J13" s="28">
        <f>PROGRAMADO!J13/'Anexo '!$C$20</f>
        <v>159586265.67231691</v>
      </c>
      <c r="K13" s="28">
        <f>PROGRAMADO!K13/'Anexo '!$C$20</f>
        <v>159586265.67231691</v>
      </c>
      <c r="L13" s="28">
        <f>PROGRAMADO!L13/'Anexo '!$C$20</f>
        <v>241045550.38845164</v>
      </c>
      <c r="M13" s="28">
        <f>PROGRAMADO!M13/'Anexo '!$C$20</f>
        <v>304419294.14272255</v>
      </c>
      <c r="N13" s="28">
        <f>PROGRAMADO!N13/'Anexo '!$C$20</f>
        <v>545464844.53117418</v>
      </c>
      <c r="O13" s="28">
        <f>PROGRAMADO!O13/'Anexo '!$C$20</f>
        <v>705051110.20349109</v>
      </c>
      <c r="P13" s="28">
        <f>PROGRAMADO!P13/'Anexo '!$D$20</f>
        <v>0</v>
      </c>
      <c r="Q13" s="28">
        <f>PROGRAMADO!Q13/'Anexo '!$D$20</f>
        <v>121527038.06853825</v>
      </c>
      <c r="R13" s="28">
        <f>PROGRAMADO!R13/'Anexo '!$D$20</f>
        <v>121527038.06853825</v>
      </c>
      <c r="S13" s="28">
        <f>PROGRAMADO!S13/'Anexo '!$D$20</f>
        <v>246781560.8282418</v>
      </c>
      <c r="T13" s="28">
        <f>PROGRAMADO!T13/'Anexo '!$D$20</f>
        <v>213614852.50048879</v>
      </c>
      <c r="U13" s="28">
        <f>PROGRAMADO!U13/'Anexo '!$D$20</f>
        <v>460396413.32873058</v>
      </c>
      <c r="V13" s="28">
        <f>PROGRAMADO!V13/'Anexo '!$D$20</f>
        <v>581923451.39726889</v>
      </c>
      <c r="W13" s="28">
        <f>PROGRAMADO!W13/'Anexo '!$E$13</f>
        <v>0</v>
      </c>
      <c r="X13" s="28">
        <f>PROGRAMADO!X13/'Anexo '!$E$13</f>
        <v>74246838.978896409</v>
      </c>
      <c r="Y13" s="28">
        <f>PROGRAMADO!Y13/'Anexo '!$E$13</f>
        <v>74246838.978896409</v>
      </c>
      <c r="Z13" s="28">
        <f>PROGRAMADO!Z13/'Anexo '!$E$13</f>
        <v>369849276.30626601</v>
      </c>
      <c r="AA13" s="28">
        <f>PROGRAMADO!AA13/'Anexo '!$E$13</f>
        <v>96008351.753746137</v>
      </c>
      <c r="AB13" s="28">
        <f>PROGRAMADO!AB13/'Anexo '!$E$13</f>
        <v>465857628.06001216</v>
      </c>
      <c r="AC13" s="28">
        <f>PROGRAMADO!AC13/'Anexo '!$E$13</f>
        <v>540104467.0389086</v>
      </c>
      <c r="AD13" s="28">
        <f>PROGRAMADO!AD13/'Anexo '!$F$20</f>
        <v>0</v>
      </c>
      <c r="AE13" s="28">
        <f>PROGRAMADO!AE13/'Anexo '!$F$20</f>
        <v>157514000.00000003</v>
      </c>
      <c r="AF13" s="28">
        <f>PROGRAMADO!AF13/'Anexo '!$F$20</f>
        <v>157514000.00000003</v>
      </c>
      <c r="AG13" s="28">
        <f>PROGRAMADO!AG13/'Anexo '!$F$20</f>
        <v>420862276.00000012</v>
      </c>
      <c r="AH13" s="28">
        <f>PROGRAMADO!AH13/'Anexo '!$F$20</f>
        <v>149530000.00000003</v>
      </c>
      <c r="AI13" s="28">
        <f>PROGRAMADO!AI13/'Anexo '!$F$20</f>
        <v>570392276.00000012</v>
      </c>
      <c r="AJ13" s="28">
        <f>PROGRAMADO!AJ13/'Anexo '!$F$20</f>
        <v>727906276.00000012</v>
      </c>
      <c r="AK13" s="28">
        <f>PROGRAMADO!AK13/'Anexo '!$G$20</f>
        <v>0</v>
      </c>
      <c r="AL13" s="28">
        <f>PROGRAMADO!AL13/'Anexo '!$G$20</f>
        <v>230800485.66460049</v>
      </c>
      <c r="AM13" s="28">
        <f>PROGRAMADO!AM13/'Anexo '!$G$20</f>
        <v>230800485.66460049</v>
      </c>
      <c r="AN13" s="28">
        <f>PROGRAMADO!AN13/'Anexo '!$G$20</f>
        <v>343272616.94444555</v>
      </c>
      <c r="AO13" s="28">
        <f>PROGRAMADO!AO13/'Anexo '!$G$20</f>
        <v>41705196.825314604</v>
      </c>
      <c r="AP13" s="28">
        <f>PROGRAMADO!AP13/'Anexo '!$G$20</f>
        <v>384977813.76976019</v>
      </c>
      <c r="AQ13" s="28">
        <f>PROGRAMADO!AQ13/'Anexo '!$G$20</f>
        <v>615778299.43436062</v>
      </c>
      <c r="AR13" s="28">
        <f>PROGRAMADO!AR13/'Anexo '!$H$20</f>
        <v>0</v>
      </c>
      <c r="AS13" s="28">
        <f>PROGRAMADO!AS13/'Anexo '!$H$20</f>
        <v>198350560.32323283</v>
      </c>
      <c r="AT13" s="28">
        <f>PROGRAMADO!AT13/'Anexo '!$H$20</f>
        <v>198350560.32323283</v>
      </c>
      <c r="AU13" s="28">
        <f>PROGRAMADO!AU13/'Anexo '!$H$20</f>
        <v>150422263.22057489</v>
      </c>
      <c r="AV13" s="28">
        <f>PROGRAMADO!AV13/'Anexo '!$H$20</f>
        <v>0</v>
      </c>
      <c r="AW13" s="28">
        <f>PROGRAMADO!AW13/'Anexo '!$H$20</f>
        <v>150422263.22057489</v>
      </c>
      <c r="AX13" s="28">
        <f>PROGRAMADO!AX13/'Anexo '!$H$20</f>
        <v>348772823.54380769</v>
      </c>
      <c r="AY13" s="28">
        <f>PROGRAMADO!AY13/'Anexo '!$I$20</f>
        <v>0</v>
      </c>
      <c r="AZ13" s="28">
        <f>PROGRAMADO!AZ13/'Anexo '!$I$20</f>
        <v>184143142.93210915</v>
      </c>
      <c r="BA13" s="28">
        <f>PROGRAMADO!BA13/'Anexo '!$I$20</f>
        <v>184143142.93210915</v>
      </c>
      <c r="BB13" s="28">
        <f>PROGRAMADO!BB13/'Anexo '!$I$20</f>
        <v>228189209.28908521</v>
      </c>
      <c r="BC13" s="28">
        <f>PROGRAMADO!BC13/'Anexo '!$I$20</f>
        <v>0</v>
      </c>
      <c r="BD13" s="28">
        <f>PROGRAMADO!BD13/'Anexo '!$I$20</f>
        <v>228189209.28908521</v>
      </c>
      <c r="BE13" s="28">
        <f>PROGRAMADO!BE13/'Anexo '!$I$20</f>
        <v>412332352.22119433</v>
      </c>
      <c r="BF13" s="28">
        <f>PROGRAMADO!BF13/'Anexo '!$J$20</f>
        <v>0</v>
      </c>
      <c r="BG13" s="28">
        <f>PROGRAMADO!BG13/'Anexo '!$J$20</f>
        <v>156985489.22647837</v>
      </c>
      <c r="BH13" s="28">
        <f>PROGRAMADO!BH13/'Anexo '!$J$20</f>
        <v>156985489.22647837</v>
      </c>
      <c r="BI13" s="28">
        <f>PROGRAMADO!BI13/'Anexo '!$J$20</f>
        <v>109552533.85028856</v>
      </c>
      <c r="BJ13" s="28">
        <f>PROGRAMADO!BJ13/'Anexo '!$J$20</f>
        <v>0</v>
      </c>
      <c r="BK13" s="28">
        <f>PROGRAMADO!BK13/'Anexo '!$J$20</f>
        <v>109552533.85028856</v>
      </c>
      <c r="BL13" s="28">
        <f>PROGRAMADO!BL13/'Anexo '!$J$20</f>
        <v>266538023.07676694</v>
      </c>
      <c r="BM13" s="28">
        <f>PROGRAMADO!BM13/'Anexo '!$K$20</f>
        <v>0</v>
      </c>
      <c r="BN13" s="28">
        <f>PROGRAMADO!BN13/'Anexo '!$K$20</f>
        <v>48911033.221764818</v>
      </c>
      <c r="BO13" s="28">
        <f>PROGRAMADO!BO13/'Anexo '!$K$20</f>
        <v>48911033.221764818</v>
      </c>
      <c r="BP13" s="28">
        <f>PROGRAMADO!BP13/'Anexo '!$K$20</f>
        <v>112968721.38788678</v>
      </c>
      <c r="BQ13" s="28">
        <f>PROGRAMADO!BQ13/'Anexo '!$K$20</f>
        <v>0</v>
      </c>
      <c r="BR13" s="28">
        <f>PROGRAMADO!BR13/'Anexo '!$K$20</f>
        <v>112968721.38788678</v>
      </c>
      <c r="BS13" s="28">
        <f>PROGRAMADO!BS13/'Anexo '!$K$20</f>
        <v>161879754.6096516</v>
      </c>
      <c r="BT13" s="28">
        <f>PROGRAMADO!BT13/'Anexo '!$L$20</f>
        <v>0</v>
      </c>
      <c r="BU13" s="28">
        <f>PROGRAMADO!BU13/'Anexo '!$L$20</f>
        <v>115515639.98889905</v>
      </c>
      <c r="BV13" s="28">
        <f>PROGRAMADO!BV13/'Anexo '!$L$20</f>
        <v>0</v>
      </c>
      <c r="BW13" s="28">
        <f>PROGRAMADO!BW13/'Anexo '!$L$20</f>
        <v>115515639.98889905</v>
      </c>
      <c r="BX13" s="28">
        <f>PROGRAMADO!BX13/'Anexo '!$L$20</f>
        <v>35507089.705422595</v>
      </c>
      <c r="BY13" s="28">
        <f>PROGRAMADO!BY13/'Anexo '!$L$20</f>
        <v>0</v>
      </c>
      <c r="BZ13" s="28">
        <f>PROGRAMADO!BZ13/'Anexo '!$L$20</f>
        <v>35507089.705422595</v>
      </c>
      <c r="CA13" s="28">
        <f>PROGRAMADO!CA13/'Anexo '!$L$20</f>
        <v>151022729.69432163</v>
      </c>
      <c r="CB13" s="28">
        <f>PROGRAMADO!CB13/'Anexo '!$M$20</f>
        <v>0</v>
      </c>
      <c r="CC13" s="28">
        <f>PROGRAMADO!CC13/'Anexo '!$M$20</f>
        <v>180134197.4467127</v>
      </c>
      <c r="CD13" s="28">
        <f>PROGRAMADO!CD13/'Anexo '!$M$20</f>
        <v>0</v>
      </c>
      <c r="CE13" s="28">
        <f>PROGRAMADO!CE13/'Anexo '!$M$20</f>
        <v>180134197.4467127</v>
      </c>
      <c r="CF13" s="28">
        <f>PROGRAMADO!CF13/'Anexo '!$M$20</f>
        <v>100325135.37064373</v>
      </c>
      <c r="CG13" s="28">
        <f>PROGRAMADO!CG13/'Anexo '!$M$20</f>
        <v>0</v>
      </c>
      <c r="CH13" s="28">
        <f>PROGRAMADO!CH13/'Anexo '!$M$20</f>
        <v>100325135.37064373</v>
      </c>
      <c r="CI13" s="29">
        <f>PROGRAMADO!CI13/'Anexo '!$M$20</f>
        <v>280459332.81735647</v>
      </c>
    </row>
    <row r="14" spans="1:87" x14ac:dyDescent="0.25">
      <c r="A14" s="23" t="s">
        <v>6</v>
      </c>
      <c r="B14" s="28">
        <f>PROGRAMADO!B14/'Anexo '!$B$20</f>
        <v>0</v>
      </c>
      <c r="C14" s="28">
        <f>PROGRAMADO!C14/'Anexo '!$B$20</f>
        <v>117636796.43149659</v>
      </c>
      <c r="D14" s="28">
        <f>PROGRAMADO!D14/'Anexo '!$B$20</f>
        <v>117636796.43149659</v>
      </c>
      <c r="E14" s="28">
        <f>PROGRAMADO!E14/'Anexo '!$B$20</f>
        <v>132477725.33040808</v>
      </c>
      <c r="F14" s="28">
        <f>PROGRAMADO!F14/'Anexo '!$B$20</f>
        <v>603996686.45933461</v>
      </c>
      <c r="G14" s="28">
        <f>PROGRAMADO!G14/'Anexo '!$B$20</f>
        <v>736474411.78974259</v>
      </c>
      <c r="H14" s="28">
        <f>PROGRAMADO!H14/'Anexo '!$B$20</f>
        <v>854111208.22123921</v>
      </c>
      <c r="I14" s="28">
        <f>PROGRAMADO!I14/'Anexo '!$C$20</f>
        <v>0</v>
      </c>
      <c r="J14" s="28">
        <f>PROGRAMADO!J14/'Anexo '!$C$20</f>
        <v>112395546.3785215</v>
      </c>
      <c r="K14" s="28">
        <f>PROGRAMADO!K14/'Anexo '!$C$20</f>
        <v>112395546.3785215</v>
      </c>
      <c r="L14" s="28">
        <f>PROGRAMADO!L14/'Anexo '!$C$20</f>
        <v>125813674.77776362</v>
      </c>
      <c r="M14" s="28">
        <f>PROGRAMADO!M14/'Anexo '!$C$20</f>
        <v>409161727.69168735</v>
      </c>
      <c r="N14" s="28">
        <f>PROGRAMADO!N14/'Anexo '!$C$20</f>
        <v>534975402.46945095</v>
      </c>
      <c r="O14" s="28">
        <f>PROGRAMADO!O14/'Anexo '!$C$20</f>
        <v>647370948.84797251</v>
      </c>
      <c r="P14" s="28">
        <f>PROGRAMADO!P14/'Anexo '!$D$20</f>
        <v>0</v>
      </c>
      <c r="Q14" s="28">
        <f>PROGRAMADO!Q14/'Anexo '!$D$20</f>
        <v>119166086.53063285</v>
      </c>
      <c r="R14" s="28">
        <f>PROGRAMADO!R14/'Anexo '!$D$20</f>
        <v>119166086.53063285</v>
      </c>
      <c r="S14" s="28">
        <f>PROGRAMADO!S14/'Anexo '!$D$20</f>
        <v>90421953.378654525</v>
      </c>
      <c r="T14" s="28">
        <f>PROGRAMADO!T14/'Anexo '!$D$20</f>
        <v>465506534.49754691</v>
      </c>
      <c r="U14" s="28">
        <f>PROGRAMADO!U14/'Anexo '!$D$20</f>
        <v>555928487.87620151</v>
      </c>
      <c r="V14" s="28">
        <f>PROGRAMADO!V14/'Anexo '!$D$20</f>
        <v>675094574.40683424</v>
      </c>
      <c r="W14" s="28">
        <f>PROGRAMADO!W14/'Anexo '!$E$13</f>
        <v>0</v>
      </c>
      <c r="X14" s="28">
        <f>PROGRAMADO!X14/'Anexo '!$E$13</f>
        <v>113893732.93663144</v>
      </c>
      <c r="Y14" s="28">
        <f>PROGRAMADO!Y14/'Anexo '!$E$13</f>
        <v>113893732.93663144</v>
      </c>
      <c r="Z14" s="28">
        <f>PROGRAMADO!Z14/'Anexo '!$E$13</f>
        <v>82820784.097874418</v>
      </c>
      <c r="AA14" s="28">
        <f>PROGRAMADO!AA14/'Anexo '!$E$13</f>
        <v>413526058.26716483</v>
      </c>
      <c r="AB14" s="28">
        <f>PROGRAMADO!AB14/'Anexo '!$E$13</f>
        <v>496346842.36503923</v>
      </c>
      <c r="AC14" s="28">
        <f>PROGRAMADO!AC14/'Anexo '!$E$13</f>
        <v>610240575.30167067</v>
      </c>
      <c r="AD14" s="28">
        <f>PROGRAMADO!AD14/'Anexo '!$F$20</f>
        <v>0</v>
      </c>
      <c r="AE14" s="28">
        <f>PROGRAMADO!AE14/'Anexo '!$F$20</f>
        <v>97589316.000000015</v>
      </c>
      <c r="AF14" s="28">
        <f>PROGRAMADO!AF14/'Anexo '!$F$20</f>
        <v>97589316.000000015</v>
      </c>
      <c r="AG14" s="28">
        <f>PROGRAMADO!AG14/'Anexo '!$F$20</f>
        <v>90488096.000000015</v>
      </c>
      <c r="AH14" s="28">
        <f>PROGRAMADO!AH14/'Anexo '!$F$20</f>
        <v>233706645.00000006</v>
      </c>
      <c r="AI14" s="28">
        <f>PROGRAMADO!AI14/'Anexo '!$F$20</f>
        <v>324194741.00000006</v>
      </c>
      <c r="AJ14" s="28">
        <f>PROGRAMADO!AJ14/'Anexo '!$F$20</f>
        <v>421784057.00000012</v>
      </c>
      <c r="AK14" s="28">
        <f>PROGRAMADO!AK14/'Anexo '!$G$20</f>
        <v>0</v>
      </c>
      <c r="AL14" s="28">
        <f>PROGRAMADO!AL14/'Anexo '!$G$20</f>
        <v>77805515.143376172</v>
      </c>
      <c r="AM14" s="28">
        <f>PROGRAMADO!AM14/'Anexo '!$G$20</f>
        <v>77805515.143376172</v>
      </c>
      <c r="AN14" s="28">
        <f>PROGRAMADO!AN14/'Anexo '!$G$20</f>
        <v>51705611.377302349</v>
      </c>
      <c r="AO14" s="28">
        <f>PROGRAMADO!AO14/'Anexo '!$G$20</f>
        <v>241681151.61098722</v>
      </c>
      <c r="AP14" s="28">
        <f>PROGRAMADO!AP14/'Anexo '!$G$20</f>
        <v>293386762.98828959</v>
      </c>
      <c r="AQ14" s="28">
        <f>PROGRAMADO!AQ14/'Anexo '!$G$20</f>
        <v>371192278.13166577</v>
      </c>
      <c r="AR14" s="28">
        <f>PROGRAMADO!AR14/'Anexo '!$H$20</f>
        <v>0</v>
      </c>
      <c r="AS14" s="28">
        <f>PROGRAMADO!AS14/'Anexo '!$H$20</f>
        <v>12861989.943654526</v>
      </c>
      <c r="AT14" s="28">
        <f>PROGRAMADO!AT14/'Anexo '!$H$20</f>
        <v>12861989.943654526</v>
      </c>
      <c r="AU14" s="28">
        <f>PROGRAMADO!AU14/'Anexo '!$H$20</f>
        <v>50085665.23105967</v>
      </c>
      <c r="AV14" s="28">
        <f>PROGRAMADO!AV14/'Anexo '!$H$20</f>
        <v>293380711.53817308</v>
      </c>
      <c r="AW14" s="28">
        <f>PROGRAMADO!AW14/'Anexo '!$H$20</f>
        <v>343466376.76923275</v>
      </c>
      <c r="AX14" s="28">
        <f>PROGRAMADO!AX14/'Anexo '!$H$20</f>
        <v>356328366.71288729</v>
      </c>
      <c r="AY14" s="28">
        <f>PROGRAMADO!AY14/'Anexo '!$I$20</f>
        <v>0</v>
      </c>
      <c r="AZ14" s="28">
        <f>PROGRAMADO!AZ14/'Anexo '!$I$20</f>
        <v>3254444.3618387668</v>
      </c>
      <c r="BA14" s="28">
        <f>PROGRAMADO!BA14/'Anexo '!$I$20</f>
        <v>3254444.3618387668</v>
      </c>
      <c r="BB14" s="28">
        <f>PROGRAMADO!BB14/'Anexo '!$I$20</f>
        <v>49130154.547770239</v>
      </c>
      <c r="BC14" s="28">
        <f>PROGRAMADO!BC14/'Anexo '!$I$20</f>
        <v>286234114.59588289</v>
      </c>
      <c r="BD14" s="28">
        <f>PROGRAMADO!BD14/'Anexo '!$I$20</f>
        <v>335364269.14365309</v>
      </c>
      <c r="BE14" s="28">
        <f>PROGRAMADO!BE14/'Anexo '!$I$20</f>
        <v>338618713.50549185</v>
      </c>
      <c r="BF14" s="28">
        <f>PROGRAMADO!BF14/'Anexo '!$J$20</f>
        <v>0</v>
      </c>
      <c r="BG14" s="28">
        <f>PROGRAMADO!BG14/'Anexo '!$J$20</f>
        <v>3976966.214911974</v>
      </c>
      <c r="BH14" s="28">
        <f>PROGRAMADO!BH14/'Anexo '!$J$20</f>
        <v>3976966.214911974</v>
      </c>
      <c r="BI14" s="28">
        <f>PROGRAMADO!BI14/'Anexo '!$J$20</f>
        <v>101570831.31195594</v>
      </c>
      <c r="BJ14" s="28">
        <f>PROGRAMADO!BJ14/'Anexo '!$J$20</f>
        <v>86902237.685725242</v>
      </c>
      <c r="BK14" s="28">
        <f>PROGRAMADO!BK14/'Anexo '!$J$20</f>
        <v>188473068.9976812</v>
      </c>
      <c r="BL14" s="28">
        <f>PROGRAMADO!BL14/'Anexo '!$J$20</f>
        <v>192450035.21259317</v>
      </c>
      <c r="BM14" s="28">
        <f>PROGRAMADO!BM14/'Anexo '!$K$20</f>
        <v>0</v>
      </c>
      <c r="BN14" s="28">
        <f>PROGRAMADO!BN14/'Anexo '!$K$20</f>
        <v>0</v>
      </c>
      <c r="BO14" s="28">
        <f>PROGRAMADO!BO14/'Anexo '!$K$20</f>
        <v>0</v>
      </c>
      <c r="BP14" s="28">
        <f>PROGRAMADO!BP14/'Anexo '!$K$20</f>
        <v>74381584.134916484</v>
      </c>
      <c r="BQ14" s="28">
        <f>PROGRAMADO!BQ14/'Anexo '!$K$20</f>
        <v>77103436.327259839</v>
      </c>
      <c r="BR14" s="28">
        <f>PROGRAMADO!BR14/'Anexo '!$K$20</f>
        <v>151485020.46217632</v>
      </c>
      <c r="BS14" s="28">
        <f>PROGRAMADO!BS14/'Anexo '!$K$20</f>
        <v>151485020.46217632</v>
      </c>
      <c r="BT14" s="28">
        <f>PROGRAMADO!BT14/'Anexo '!$L$20</f>
        <v>0</v>
      </c>
      <c r="BU14" s="28">
        <f>PROGRAMADO!BU14/'Anexo '!$L$20</f>
        <v>4265118.516843291</v>
      </c>
      <c r="BV14" s="28">
        <f>PROGRAMADO!BV14/'Anexo '!$L$20</f>
        <v>0</v>
      </c>
      <c r="BW14" s="28">
        <f>PROGRAMADO!BW14/'Anexo '!$L$20</f>
        <v>4265118.516843291</v>
      </c>
      <c r="BX14" s="28">
        <f>PROGRAMADO!BX14/'Anexo '!$L$20</f>
        <v>149697935.3458384</v>
      </c>
      <c r="BY14" s="28">
        <f>PROGRAMADO!BY14/'Anexo '!$L$20</f>
        <v>7529307.0839279816</v>
      </c>
      <c r="BZ14" s="28">
        <f>PROGRAMADO!BZ14/'Anexo '!$L$20</f>
        <v>157227242.42976639</v>
      </c>
      <c r="CA14" s="28">
        <f>PROGRAMADO!CA14/'Anexo '!$L$20</f>
        <v>161492360.94660968</v>
      </c>
      <c r="CB14" s="28">
        <f>PROGRAMADO!CB14/'Anexo '!$M$20</f>
        <v>0</v>
      </c>
      <c r="CC14" s="28">
        <f>PROGRAMADO!CC14/'Anexo '!$M$20</f>
        <v>6787314.296381318</v>
      </c>
      <c r="CD14" s="28">
        <f>PROGRAMADO!CD14/'Anexo '!$M$20</f>
        <v>0</v>
      </c>
      <c r="CE14" s="28">
        <f>PROGRAMADO!CE14/'Anexo '!$M$20</f>
        <v>6787314.296381318</v>
      </c>
      <c r="CF14" s="28">
        <f>PROGRAMADO!CF14/'Anexo '!$M$20</f>
        <v>98652868.050792724</v>
      </c>
      <c r="CG14" s="28">
        <f>PROGRAMADO!CG14/'Anexo '!$M$20</f>
        <v>5171254.7624129262</v>
      </c>
      <c r="CH14" s="28">
        <f>PROGRAMADO!CH14/'Anexo '!$M$20</f>
        <v>103824122.81320564</v>
      </c>
      <c r="CI14" s="29">
        <f>PROGRAMADO!CI14/'Anexo '!$M$20</f>
        <v>110611437.10958697</v>
      </c>
    </row>
    <row r="15" spans="1:87" x14ac:dyDescent="0.25">
      <c r="A15" s="23" t="s">
        <v>80</v>
      </c>
      <c r="B15" s="28">
        <f>PROGRAMADO!B15/'Anexo '!$B$20</f>
        <v>0</v>
      </c>
      <c r="C15" s="28">
        <f>PROGRAMADO!C15/'Anexo '!$B$20</f>
        <v>0</v>
      </c>
      <c r="D15" s="28">
        <f>PROGRAMADO!D15/'Anexo '!$B$20</f>
        <v>0</v>
      </c>
      <c r="E15" s="28">
        <f>PROGRAMADO!E15/'Anexo '!$B$20</f>
        <v>0</v>
      </c>
      <c r="F15" s="28">
        <f>PROGRAMADO!F15/'Anexo '!$B$20</f>
        <v>0</v>
      </c>
      <c r="G15" s="28">
        <f>PROGRAMADO!G15/'Anexo '!$B$20</f>
        <v>0</v>
      </c>
      <c r="H15" s="28">
        <f>PROGRAMADO!H15/'Anexo '!$B$20</f>
        <v>0</v>
      </c>
      <c r="I15" s="28">
        <f>PROGRAMADO!I15/'Anexo '!$C$20</f>
        <v>0</v>
      </c>
      <c r="J15" s="28">
        <f>PROGRAMADO!J15/'Anexo '!$C$20</f>
        <v>0</v>
      </c>
      <c r="K15" s="28">
        <f>PROGRAMADO!K15/'Anexo '!$C$20</f>
        <v>0</v>
      </c>
      <c r="L15" s="28">
        <f>PROGRAMADO!L15/'Anexo '!$C$20</f>
        <v>0</v>
      </c>
      <c r="M15" s="28">
        <f>PROGRAMADO!M15/'Anexo '!$C$20</f>
        <v>0</v>
      </c>
      <c r="N15" s="28">
        <f>PROGRAMADO!N15/'Anexo '!$C$20</f>
        <v>0</v>
      </c>
      <c r="O15" s="28">
        <f>PROGRAMADO!O15/'Anexo '!$C$20</f>
        <v>0</v>
      </c>
      <c r="P15" s="28">
        <f>PROGRAMADO!P15/'Anexo '!$D$20</f>
        <v>0</v>
      </c>
      <c r="Q15" s="28">
        <f>PROGRAMADO!Q15/'Anexo '!$D$20</f>
        <v>63835154.582720093</v>
      </c>
      <c r="R15" s="28">
        <f>PROGRAMADO!R15/'Anexo '!$D$20</f>
        <v>63835154.582720093</v>
      </c>
      <c r="S15" s="28">
        <f>PROGRAMADO!S15/'Anexo '!$D$20</f>
        <v>79386656.308135375</v>
      </c>
      <c r="T15" s="28">
        <f>PROGRAMADO!T15/'Anexo '!$D$20</f>
        <v>103903626.07612035</v>
      </c>
      <c r="U15" s="28">
        <f>PROGRAMADO!U15/'Anexo '!$D$20</f>
        <v>183290282.38425571</v>
      </c>
      <c r="V15" s="28">
        <f>PROGRAMADO!V15/'Anexo '!$D$20</f>
        <v>247125436.96697581</v>
      </c>
      <c r="W15" s="28">
        <f>PROGRAMADO!W15/'Anexo '!$E$13</f>
        <v>0</v>
      </c>
      <c r="X15" s="28">
        <f>PROGRAMADO!X15/'Anexo '!$E$13</f>
        <v>69147449.686983019</v>
      </c>
      <c r="Y15" s="28">
        <f>PROGRAMADO!Y15/'Anexo '!$E$13</f>
        <v>69147449.686983019</v>
      </c>
      <c r="Z15" s="28">
        <f>PROGRAMADO!Z15/'Anexo '!$E$13</f>
        <v>76963083.644660488</v>
      </c>
      <c r="AA15" s="28">
        <f>PROGRAMADO!AA15/'Anexo '!$E$13</f>
        <v>78069732.741116792</v>
      </c>
      <c r="AB15" s="28">
        <f>PROGRAMADO!AB15/'Anexo '!$E$13</f>
        <v>155032816.38577726</v>
      </c>
      <c r="AC15" s="28">
        <f>PROGRAMADO!AC15/'Anexo '!$E$13</f>
        <v>224180266.07276028</v>
      </c>
      <c r="AD15" s="28">
        <f>PROGRAMADO!AD15/'Anexo '!$F$20</f>
        <v>0</v>
      </c>
      <c r="AE15" s="28">
        <f>PROGRAMADO!AE15/'Anexo '!$F$20</f>
        <v>64053000.000000015</v>
      </c>
      <c r="AF15" s="28">
        <f>PROGRAMADO!AF15/'Anexo '!$F$20</f>
        <v>64053000.000000015</v>
      </c>
      <c r="AG15" s="28">
        <f>PROGRAMADO!AG15/'Anexo '!$F$20</f>
        <v>43638968.000000007</v>
      </c>
      <c r="AH15" s="28">
        <f>PROGRAMADO!AH15/'Anexo '!$F$20</f>
        <v>79619766.000000015</v>
      </c>
      <c r="AI15" s="28">
        <f>PROGRAMADO!AI15/'Anexo '!$F$20</f>
        <v>123258734.00000003</v>
      </c>
      <c r="AJ15" s="28">
        <f>PROGRAMADO!AJ15/'Anexo '!$F$20</f>
        <v>187311734.00000003</v>
      </c>
      <c r="AK15" s="28">
        <f>PROGRAMADO!AK15/'Anexo '!$G$20</f>
        <v>0</v>
      </c>
      <c r="AL15" s="28">
        <f>PROGRAMADO!AL15/'Anexo '!$G$20</f>
        <v>49844968.611337267</v>
      </c>
      <c r="AM15" s="28">
        <f>PROGRAMADO!AM15/'Anexo '!$G$20</f>
        <v>49844968.611337267</v>
      </c>
      <c r="AN15" s="28">
        <f>PROGRAMADO!AN15/'Anexo '!$G$20</f>
        <v>85006403.155616477</v>
      </c>
      <c r="AO15" s="28">
        <f>PROGRAMADO!AO15/'Anexo '!$G$20</f>
        <v>82171279.946250871</v>
      </c>
      <c r="AP15" s="28">
        <f>PROGRAMADO!AP15/'Anexo '!$G$20</f>
        <v>167177683.10186735</v>
      </c>
      <c r="AQ15" s="28">
        <f>PROGRAMADO!AQ15/'Anexo '!$G$20</f>
        <v>217022651.71320462</v>
      </c>
      <c r="AR15" s="28">
        <f>PROGRAMADO!AR15/'Anexo '!$H$20</f>
        <v>0</v>
      </c>
      <c r="AS15" s="28">
        <f>PROGRAMADO!AS15/'Anexo '!$H$20</f>
        <v>45203014.582940675</v>
      </c>
      <c r="AT15" s="28">
        <f>PROGRAMADO!AT15/'Anexo '!$H$20</f>
        <v>45203014.582940675</v>
      </c>
      <c r="AU15" s="28">
        <f>PROGRAMADO!AU15/'Anexo '!$H$20</f>
        <v>78199173.272413984</v>
      </c>
      <c r="AV15" s="28">
        <f>PROGRAMADO!AV15/'Anexo '!$H$20</f>
        <v>49161557.051632419</v>
      </c>
      <c r="AW15" s="28">
        <f>PROGRAMADO!AW15/'Anexo '!$H$20</f>
        <v>127360730.3240464</v>
      </c>
      <c r="AX15" s="28">
        <f>PROGRAMADO!AX15/'Anexo '!$H$20</f>
        <v>172563744.90698707</v>
      </c>
      <c r="AY15" s="28">
        <f>PROGRAMADO!AY15/'Anexo '!$I$20</f>
        <v>0</v>
      </c>
      <c r="AZ15" s="28">
        <f>PROGRAMADO!AZ15/'Anexo '!$I$20</f>
        <v>91449961.49741444</v>
      </c>
      <c r="BA15" s="28">
        <f>PROGRAMADO!BA15/'Anexo '!$I$20</f>
        <v>91449961.49741444</v>
      </c>
      <c r="BB15" s="28">
        <f>PROGRAMADO!BB15/'Anexo '!$I$20</f>
        <v>106235351.95141804</v>
      </c>
      <c r="BC15" s="28">
        <f>PROGRAMADO!BC15/'Anexo '!$I$20</f>
        <v>37973012.210606076</v>
      </c>
      <c r="BD15" s="28">
        <f>PROGRAMADO!BD15/'Anexo '!$I$20</f>
        <v>144208364.16202411</v>
      </c>
      <c r="BE15" s="28">
        <f>PROGRAMADO!BE15/'Anexo '!$I$20</f>
        <v>235658325.65943855</v>
      </c>
      <c r="BF15" s="28">
        <f>PROGRAMADO!BF15/'Anexo '!$J$20</f>
        <v>0</v>
      </c>
      <c r="BG15" s="28">
        <f>PROGRAMADO!BG15/'Anexo '!$J$20</f>
        <v>48887300.94250942</v>
      </c>
      <c r="BH15" s="28">
        <f>PROGRAMADO!BH15/'Anexo '!$J$20</f>
        <v>48887300.94250942</v>
      </c>
      <c r="BI15" s="28">
        <f>PROGRAMADO!BI15/'Anexo '!$J$20</f>
        <v>215361694.2477763</v>
      </c>
      <c r="BJ15" s="28">
        <f>PROGRAMADO!BJ15/'Anexo '!$J$20</f>
        <v>32507283.955778811</v>
      </c>
      <c r="BK15" s="28">
        <f>PROGRAMADO!BK15/'Anexo '!$J$20</f>
        <v>247868978.20355514</v>
      </c>
      <c r="BL15" s="28">
        <f>PROGRAMADO!BL15/'Anexo '!$J$20</f>
        <v>296756279.14606458</v>
      </c>
      <c r="BM15" s="28">
        <f>PROGRAMADO!BM15/'Anexo '!$K$20</f>
        <v>0</v>
      </c>
      <c r="BN15" s="28">
        <f>PROGRAMADO!BN15/'Anexo '!$K$20</f>
        <v>62566266.619169794</v>
      </c>
      <c r="BO15" s="28">
        <f>PROGRAMADO!BO15/'Anexo '!$K$20</f>
        <v>62566266.619169794</v>
      </c>
      <c r="BP15" s="28">
        <f>PROGRAMADO!BP15/'Anexo '!$K$20</f>
        <v>245830658.02451146</v>
      </c>
      <c r="BQ15" s="28">
        <f>PROGRAMADO!BQ15/'Anexo '!$K$20</f>
        <v>62135398.988586307</v>
      </c>
      <c r="BR15" s="28">
        <f>PROGRAMADO!BR15/'Anexo '!$K$20</f>
        <v>307966057.01309776</v>
      </c>
      <c r="BS15" s="28">
        <f>PROGRAMADO!BS15/'Anexo '!$K$20</f>
        <v>370532323.63226753</v>
      </c>
      <c r="BT15" s="28">
        <f>PROGRAMADO!BT15/'Anexo '!$L$20</f>
        <v>0</v>
      </c>
      <c r="BU15" s="28">
        <f>PROGRAMADO!BU15/'Anexo '!$L$20</f>
        <v>58449586.607783832</v>
      </c>
      <c r="BV15" s="28">
        <f>PROGRAMADO!BV15/'Anexo '!$L$20</f>
        <v>0</v>
      </c>
      <c r="BW15" s="28">
        <f>PROGRAMADO!BW15/'Anexo '!$L$20</f>
        <v>58449586.607783832</v>
      </c>
      <c r="BX15" s="28">
        <f>PROGRAMADO!BX15/'Anexo '!$L$20</f>
        <v>193391700.29913774</v>
      </c>
      <c r="BY15" s="28">
        <f>PROGRAMADO!BY15/'Anexo '!$L$20</f>
        <v>1535410.2932475177</v>
      </c>
      <c r="BZ15" s="28">
        <f>PROGRAMADO!BZ15/'Anexo '!$L$20</f>
        <v>194927110.5923852</v>
      </c>
      <c r="CA15" s="28">
        <f>PROGRAMADO!CA15/'Anexo '!$L$20</f>
        <v>253376697.20016906</v>
      </c>
      <c r="CB15" s="28">
        <f>PROGRAMADO!CB15/'Anexo '!$M$20</f>
        <v>0</v>
      </c>
      <c r="CC15" s="28">
        <f>PROGRAMADO!CC15/'Anexo '!$M$20</f>
        <v>35622883.112499677</v>
      </c>
      <c r="CD15" s="28">
        <f>PROGRAMADO!CD15/'Anexo '!$M$20</f>
        <v>0</v>
      </c>
      <c r="CE15" s="28">
        <f>PROGRAMADO!CE15/'Anexo '!$M$20</f>
        <v>35622883.112499677</v>
      </c>
      <c r="CF15" s="28">
        <f>PROGRAMADO!CF15/'Anexo '!$M$20</f>
        <v>208572810.86493865</v>
      </c>
      <c r="CG15" s="28">
        <f>PROGRAMADO!CG15/'Anexo '!$M$20</f>
        <v>23098461.769398991</v>
      </c>
      <c r="CH15" s="28">
        <f>PROGRAMADO!CH15/'Anexo '!$M$20</f>
        <v>231671272.63433763</v>
      </c>
      <c r="CI15" s="29">
        <f>PROGRAMADO!CI15/'Anexo '!$M$20</f>
        <v>267294155.74683732</v>
      </c>
    </row>
    <row r="16" spans="1:87" x14ac:dyDescent="0.25">
      <c r="A16" s="23" t="s">
        <v>7</v>
      </c>
      <c r="B16" s="28">
        <f>PROGRAMADO!B16/'Anexo '!$B$20</f>
        <v>0</v>
      </c>
      <c r="C16" s="28">
        <f>PROGRAMADO!C16/'Anexo '!$B$20</f>
        <v>21579806.67369232</v>
      </c>
      <c r="D16" s="28">
        <f>PROGRAMADO!D16/'Anexo '!$B$20</f>
        <v>21579806.67369232</v>
      </c>
      <c r="E16" s="28">
        <f>PROGRAMADO!E16/'Anexo '!$B$20</f>
        <v>39386279.143712319</v>
      </c>
      <c r="F16" s="28">
        <f>PROGRAMADO!F16/'Anexo '!$B$20</f>
        <v>67316508.105435207</v>
      </c>
      <c r="G16" s="28">
        <f>PROGRAMADO!G16/'Anexo '!$B$20</f>
        <v>106702787.24914753</v>
      </c>
      <c r="H16" s="28">
        <f>PROGRAMADO!H16/'Anexo '!$B$20</f>
        <v>128282593.92283985</v>
      </c>
      <c r="I16" s="28">
        <f>PROGRAMADO!I16/'Anexo '!$C$20</f>
        <v>0</v>
      </c>
      <c r="J16" s="28">
        <f>PROGRAMADO!J16/'Anexo '!$C$20</f>
        <v>45963541.012907639</v>
      </c>
      <c r="K16" s="28">
        <f>PROGRAMADO!K16/'Anexo '!$C$20</f>
        <v>45963541.012907639</v>
      </c>
      <c r="L16" s="28">
        <f>PROGRAMADO!L16/'Anexo '!$C$20</f>
        <v>49895208.23804269</v>
      </c>
      <c r="M16" s="28">
        <f>PROGRAMADO!M16/'Anexo '!$C$20</f>
        <v>210120311.89096326</v>
      </c>
      <c r="N16" s="28">
        <f>PROGRAMADO!N16/'Anexo '!$C$20</f>
        <v>260015520.12900594</v>
      </c>
      <c r="O16" s="28">
        <f>PROGRAMADO!O16/'Anexo '!$C$20</f>
        <v>305979061.14191359</v>
      </c>
      <c r="P16" s="28">
        <f>PROGRAMADO!P16/'Anexo '!$D$20</f>
        <v>0</v>
      </c>
      <c r="Q16" s="28">
        <f>PROGRAMADO!Q16/'Anexo '!$D$20</f>
        <v>44684452.11497508</v>
      </c>
      <c r="R16" s="28">
        <f>PROGRAMADO!R16/'Anexo '!$D$20</f>
        <v>44684452.11497508</v>
      </c>
      <c r="S16" s="28">
        <f>PROGRAMADO!S16/'Anexo '!$D$20</f>
        <v>34428739.367317654</v>
      </c>
      <c r="T16" s="28">
        <f>PROGRAMADO!T16/'Anexo '!$D$20</f>
        <v>267807692.24558356</v>
      </c>
      <c r="U16" s="28">
        <f>PROGRAMADO!U16/'Anexo '!$D$20</f>
        <v>302236431.61290121</v>
      </c>
      <c r="V16" s="28">
        <f>PROGRAMADO!V16/'Anexo '!$D$20</f>
        <v>346920883.72787631</v>
      </c>
      <c r="W16" s="28">
        <f>PROGRAMADO!W16/'Anexo '!$E$13</f>
        <v>0</v>
      </c>
      <c r="X16" s="28">
        <f>PROGRAMADO!X16/'Anexo '!$E$13</f>
        <v>40980116.128272399</v>
      </c>
      <c r="Y16" s="28">
        <f>PROGRAMADO!Y16/'Anexo '!$E$13</f>
        <v>40980116.128272399</v>
      </c>
      <c r="Z16" s="28">
        <f>PROGRAMADO!Z16/'Anexo '!$E$13</f>
        <v>25032673.591604158</v>
      </c>
      <c r="AA16" s="28">
        <f>PROGRAMADO!AA16/'Anexo '!$E$13</f>
        <v>196826327.40738678</v>
      </c>
      <c r="AB16" s="28">
        <f>PROGRAMADO!AB16/'Anexo '!$E$13</f>
        <v>221859000.99899092</v>
      </c>
      <c r="AC16" s="28">
        <f>PROGRAMADO!AC16/'Anexo '!$E$13</f>
        <v>262839117.12726334</v>
      </c>
      <c r="AD16" s="28">
        <f>PROGRAMADO!AD16/'Anexo '!$F$20</f>
        <v>0</v>
      </c>
      <c r="AE16" s="28">
        <f>PROGRAMADO!AE16/'Anexo '!$F$20</f>
        <v>62277320.000000015</v>
      </c>
      <c r="AF16" s="28">
        <f>PROGRAMADO!AF16/'Anexo '!$F$20</f>
        <v>62277320.000000015</v>
      </c>
      <c r="AG16" s="28">
        <f>PROGRAMADO!AG16/'Anexo '!$F$20</f>
        <v>2943264.0000000005</v>
      </c>
      <c r="AH16" s="28">
        <f>PROGRAMADO!AH16/'Anexo '!$F$20</f>
        <v>249769712.00000006</v>
      </c>
      <c r="AI16" s="28">
        <f>PROGRAMADO!AI16/'Anexo '!$F$20</f>
        <v>252712976.00000006</v>
      </c>
      <c r="AJ16" s="28">
        <f>PROGRAMADO!AJ16/'Anexo '!$F$20</f>
        <v>314990296.00000006</v>
      </c>
      <c r="AK16" s="28">
        <f>PROGRAMADO!AK16/'Anexo '!$G$20</f>
        <v>0</v>
      </c>
      <c r="AL16" s="28">
        <f>PROGRAMADO!AL16/'Anexo '!$G$20</f>
        <v>49993021.11680764</v>
      </c>
      <c r="AM16" s="28">
        <f>PROGRAMADO!AM16/'Anexo '!$G$20</f>
        <v>49993021.11680764</v>
      </c>
      <c r="AN16" s="28">
        <f>PROGRAMADO!AN16/'Anexo '!$G$20</f>
        <v>1383398.4918955299</v>
      </c>
      <c r="AO16" s="28">
        <f>PROGRAMADO!AO16/'Anexo '!$G$20</f>
        <v>91296377.427351698</v>
      </c>
      <c r="AP16" s="28">
        <f>PROGRAMADO!AP16/'Anexo '!$G$20</f>
        <v>92679775.919247225</v>
      </c>
      <c r="AQ16" s="28">
        <f>PROGRAMADO!AQ16/'Anexo '!$G$20</f>
        <v>142672797.03605485</v>
      </c>
      <c r="AR16" s="28">
        <f>PROGRAMADO!AR16/'Anexo '!$H$20</f>
        <v>0</v>
      </c>
      <c r="AS16" s="28">
        <f>PROGRAMADO!AS16/'Anexo '!$H$20</f>
        <v>19556008.304934308</v>
      </c>
      <c r="AT16" s="28">
        <f>PROGRAMADO!AT16/'Anexo '!$H$20</f>
        <v>19556008.304934308</v>
      </c>
      <c r="AU16" s="28">
        <f>PROGRAMADO!AU16/'Anexo '!$H$20</f>
        <v>0</v>
      </c>
      <c r="AV16" s="28">
        <f>PROGRAMADO!AV16/'Anexo '!$H$20</f>
        <v>60651135.07147149</v>
      </c>
      <c r="AW16" s="28">
        <f>PROGRAMADO!AW16/'Anexo '!$H$20</f>
        <v>60651135.07147149</v>
      </c>
      <c r="AX16" s="28">
        <f>PROGRAMADO!AX16/'Anexo '!$H$20</f>
        <v>80207143.376405805</v>
      </c>
      <c r="AY16" s="28">
        <f>PROGRAMADO!AY16/'Anexo '!$I$20</f>
        <v>0</v>
      </c>
      <c r="AZ16" s="28">
        <f>PROGRAMADO!AZ16/'Anexo '!$I$20</f>
        <v>1827098.7576136226</v>
      </c>
      <c r="BA16" s="28">
        <f>PROGRAMADO!BA16/'Anexo '!$I$20</f>
        <v>1827098.7576136226</v>
      </c>
      <c r="BB16" s="28">
        <f>PROGRAMADO!BB16/'Anexo '!$I$20</f>
        <v>0</v>
      </c>
      <c r="BC16" s="28">
        <f>PROGRAMADO!BC16/'Anexo '!$I$20</f>
        <v>13317498.121050196</v>
      </c>
      <c r="BD16" s="28">
        <f>PROGRAMADO!BD16/'Anexo '!$I$20</f>
        <v>13317498.121050196</v>
      </c>
      <c r="BE16" s="28">
        <f>PROGRAMADO!BE16/'Anexo '!$I$20</f>
        <v>15144596.878663817</v>
      </c>
      <c r="BF16" s="28">
        <f>PROGRAMADO!BF16/'Anexo '!$J$20</f>
        <v>0</v>
      </c>
      <c r="BG16" s="28">
        <f>PROGRAMADO!BG16/'Anexo '!$J$20</f>
        <v>1281838.1680134772</v>
      </c>
      <c r="BH16" s="28">
        <f>PROGRAMADO!BH16/'Anexo '!$J$20</f>
        <v>1281838.1680134772</v>
      </c>
      <c r="BI16" s="28">
        <f>PROGRAMADO!BI16/'Anexo '!$J$20</f>
        <v>0</v>
      </c>
      <c r="BJ16" s="28">
        <f>PROGRAMADO!BJ16/'Anexo '!$J$20</f>
        <v>24633738.990626939</v>
      </c>
      <c r="BK16" s="28">
        <f>PROGRAMADO!BK16/'Anexo '!$J$20</f>
        <v>24633738.990626939</v>
      </c>
      <c r="BL16" s="28">
        <f>PROGRAMADO!BL16/'Anexo '!$J$20</f>
        <v>25915577.158640414</v>
      </c>
      <c r="BM16" s="28">
        <f>PROGRAMADO!BM16/'Anexo '!$K$20</f>
        <v>0</v>
      </c>
      <c r="BN16" s="28">
        <f>PROGRAMADO!BN16/'Anexo '!$K$20</f>
        <v>709999.00676736154</v>
      </c>
      <c r="BO16" s="28">
        <f>PROGRAMADO!BO16/'Anexo '!$K$20</f>
        <v>709999.00676736154</v>
      </c>
      <c r="BP16" s="28">
        <f>PROGRAMADO!BP16/'Anexo '!$K$20</f>
        <v>0</v>
      </c>
      <c r="BQ16" s="28">
        <f>PROGRAMADO!BQ16/'Anexo '!$K$20</f>
        <v>11598426.23027161</v>
      </c>
      <c r="BR16" s="28">
        <f>PROGRAMADO!BR16/'Anexo '!$K$20</f>
        <v>11598426.23027161</v>
      </c>
      <c r="BS16" s="28">
        <f>PROGRAMADO!BS16/'Anexo '!$K$20</f>
        <v>12308425.23703897</v>
      </c>
      <c r="BT16" s="28">
        <f>PROGRAMADO!BT16/'Anexo '!$L$20</f>
        <v>0</v>
      </c>
      <c r="BU16" s="28">
        <f>PROGRAMADO!BU16/'Anexo '!$L$20</f>
        <v>2156419.4953547535</v>
      </c>
      <c r="BV16" s="28">
        <f>PROGRAMADO!BV16/'Anexo '!$L$20</f>
        <v>0</v>
      </c>
      <c r="BW16" s="28">
        <f>PROGRAMADO!BW16/'Anexo '!$L$20</f>
        <v>2156419.4953547535</v>
      </c>
      <c r="BX16" s="28">
        <f>PROGRAMADO!BX16/'Anexo '!$L$20</f>
        <v>0</v>
      </c>
      <c r="BY16" s="28">
        <f>PROGRAMADO!BY16/'Anexo '!$L$20</f>
        <v>15079478.447811224</v>
      </c>
      <c r="BZ16" s="28">
        <f>PROGRAMADO!BZ16/'Anexo '!$L$20</f>
        <v>15079478.447811224</v>
      </c>
      <c r="CA16" s="28">
        <f>PROGRAMADO!CA16/'Anexo '!$L$20</f>
        <v>17235897.943165977</v>
      </c>
      <c r="CB16" s="28">
        <f>PROGRAMADO!CB16/'Anexo '!$M$20</f>
        <v>0</v>
      </c>
      <c r="CC16" s="28">
        <f>PROGRAMADO!CC16/'Anexo '!$M$20</f>
        <v>0</v>
      </c>
      <c r="CD16" s="28">
        <f>PROGRAMADO!CD16/'Anexo '!$M$20</f>
        <v>0</v>
      </c>
      <c r="CE16" s="28">
        <f>PROGRAMADO!CE16/'Anexo '!$M$20</f>
        <v>0</v>
      </c>
      <c r="CF16" s="28">
        <f>PROGRAMADO!CF16/'Anexo '!$M$20</f>
        <v>0</v>
      </c>
      <c r="CG16" s="28">
        <f>PROGRAMADO!CG16/'Anexo '!$M$20</f>
        <v>41875285.775526039</v>
      </c>
      <c r="CH16" s="28">
        <f>PROGRAMADO!CH16/'Anexo '!$M$20</f>
        <v>41875285.775526039</v>
      </c>
      <c r="CI16" s="29">
        <f>PROGRAMADO!CI16/'Anexo '!$M$20</f>
        <v>41875285.775526039</v>
      </c>
    </row>
    <row r="17" spans="1:87" x14ac:dyDescent="0.25">
      <c r="A17" s="23" t="s">
        <v>8</v>
      </c>
      <c r="B17" s="28">
        <f>PROGRAMADO!B17/'Anexo '!$B$20</f>
        <v>0</v>
      </c>
      <c r="C17" s="28">
        <f>PROGRAMADO!C17/'Anexo '!$B$20</f>
        <v>126675462.79827268</v>
      </c>
      <c r="D17" s="28">
        <f>PROGRAMADO!D17/'Anexo '!$B$20</f>
        <v>126675462.79827268</v>
      </c>
      <c r="E17" s="28">
        <f>PROGRAMADO!E17/'Anexo '!$B$20</f>
        <v>0</v>
      </c>
      <c r="F17" s="28">
        <f>PROGRAMADO!F17/'Anexo '!$B$20</f>
        <v>65593292.25107009</v>
      </c>
      <c r="G17" s="28">
        <f>PROGRAMADO!G17/'Anexo '!$B$20</f>
        <v>65593292.25107009</v>
      </c>
      <c r="H17" s="28">
        <f>PROGRAMADO!H17/'Anexo '!$B$20</f>
        <v>192268755.04934278</v>
      </c>
      <c r="I17" s="28">
        <f>PROGRAMADO!I17/'Anexo '!$C$20</f>
        <v>0</v>
      </c>
      <c r="J17" s="28">
        <f>PROGRAMADO!J17/'Anexo '!$C$20</f>
        <v>108217658.54270676</v>
      </c>
      <c r="K17" s="28">
        <f>PROGRAMADO!K17/'Anexo '!$C$20</f>
        <v>108217658.54270676</v>
      </c>
      <c r="L17" s="28">
        <f>PROGRAMADO!L17/'Anexo '!$C$20</f>
        <v>0</v>
      </c>
      <c r="M17" s="28">
        <f>PROGRAMADO!M17/'Anexo '!$C$20</f>
        <v>83204599.416548923</v>
      </c>
      <c r="N17" s="28">
        <f>PROGRAMADO!N17/'Anexo '!$C$20</f>
        <v>83204599.416548923</v>
      </c>
      <c r="O17" s="28">
        <f>PROGRAMADO!O17/'Anexo '!$C$20</f>
        <v>191422257.95925567</v>
      </c>
      <c r="P17" s="28">
        <f>PROGRAMADO!P17/'Anexo '!$D$20</f>
        <v>0</v>
      </c>
      <c r="Q17" s="28">
        <f>PROGRAMADO!Q17/'Anexo '!$D$20</f>
        <v>394051276.5644151</v>
      </c>
      <c r="R17" s="28">
        <f>PROGRAMADO!R17/'Anexo '!$D$20</f>
        <v>394051276.5644151</v>
      </c>
      <c r="S17" s="28">
        <f>PROGRAMADO!S17/'Anexo '!$D$20</f>
        <v>0</v>
      </c>
      <c r="T17" s="28">
        <f>PROGRAMADO!T17/'Anexo '!$D$20</f>
        <v>67823133.145224988</v>
      </c>
      <c r="U17" s="28">
        <f>PROGRAMADO!U17/'Anexo '!$D$20</f>
        <v>67823133.145224988</v>
      </c>
      <c r="V17" s="28">
        <f>PROGRAMADO!V17/'Anexo '!$D$20</f>
        <v>461874409.70964009</v>
      </c>
      <c r="W17" s="28">
        <f>PROGRAMADO!W17/'Anexo '!$E$13</f>
        <v>0</v>
      </c>
      <c r="X17" s="28">
        <f>PROGRAMADO!X17/'Anexo '!$E$13</f>
        <v>653242611.38070238</v>
      </c>
      <c r="Y17" s="28">
        <f>PROGRAMADO!Y17/'Anexo '!$E$13</f>
        <v>653242611.38070238</v>
      </c>
      <c r="Z17" s="28">
        <f>PROGRAMADO!Z17/'Anexo '!$E$13</f>
        <v>0</v>
      </c>
      <c r="AA17" s="28">
        <f>PROGRAMADO!AA17/'Anexo '!$E$13</f>
        <v>0</v>
      </c>
      <c r="AB17" s="28">
        <f>PROGRAMADO!AB17/'Anexo '!$E$13</f>
        <v>0</v>
      </c>
      <c r="AC17" s="28">
        <f>PROGRAMADO!AC17/'Anexo '!$E$13</f>
        <v>653242611.38070238</v>
      </c>
      <c r="AD17" s="28">
        <f>PROGRAMADO!AD17/'Anexo '!$F$20</f>
        <v>0</v>
      </c>
      <c r="AE17" s="28">
        <f>PROGRAMADO!AE17/'Anexo '!$F$20</f>
        <v>707929715.00000012</v>
      </c>
      <c r="AF17" s="28">
        <f>PROGRAMADO!AF17/'Anexo '!$F$20</f>
        <v>707929715.00000012</v>
      </c>
      <c r="AG17" s="28">
        <f>PROGRAMADO!AG17/'Anexo '!$F$20</f>
        <v>83303700.000000015</v>
      </c>
      <c r="AH17" s="28">
        <f>PROGRAMADO!AH17/'Anexo '!$F$20</f>
        <v>0</v>
      </c>
      <c r="AI17" s="28">
        <f>PROGRAMADO!AI17/'Anexo '!$F$20</f>
        <v>83303700.000000015</v>
      </c>
      <c r="AJ17" s="28">
        <f>PROGRAMADO!AJ17/'Anexo '!$F$20</f>
        <v>791233415.00000012</v>
      </c>
      <c r="AK17" s="28">
        <f>PROGRAMADO!AK17/'Anexo '!$G$20</f>
        <v>0</v>
      </c>
      <c r="AL17" s="28">
        <f>PROGRAMADO!AL17/'Anexo '!$G$20</f>
        <v>948645851.19865775</v>
      </c>
      <c r="AM17" s="28">
        <f>PROGRAMADO!AM17/'Anexo '!$G$20</f>
        <v>948645851.19865775</v>
      </c>
      <c r="AN17" s="28">
        <f>PROGRAMADO!AN17/'Anexo '!$G$20</f>
        <v>17776745.006212007</v>
      </c>
      <c r="AO17" s="28">
        <f>PROGRAMADO!AO17/'Anexo '!$G$20</f>
        <v>0</v>
      </c>
      <c r="AP17" s="28">
        <f>PROGRAMADO!AP17/'Anexo '!$G$20</f>
        <v>17776745.006212007</v>
      </c>
      <c r="AQ17" s="28">
        <f>PROGRAMADO!AQ17/'Anexo '!$G$20</f>
        <v>966422596.20486975</v>
      </c>
      <c r="AR17" s="28">
        <f>PROGRAMADO!AR17/'Anexo '!$H$20</f>
        <v>0</v>
      </c>
      <c r="AS17" s="28">
        <f>PROGRAMADO!AS17/'Anexo '!$H$20</f>
        <v>1145429837.1188953</v>
      </c>
      <c r="AT17" s="28">
        <f>PROGRAMADO!AT17/'Anexo '!$H$20</f>
        <v>1145429837.1188953</v>
      </c>
      <c r="AU17" s="28">
        <f>PROGRAMADO!AU17/'Anexo '!$H$20</f>
        <v>0</v>
      </c>
      <c r="AV17" s="28">
        <f>PROGRAMADO!AV17/'Anexo '!$H$20</f>
        <v>0</v>
      </c>
      <c r="AW17" s="28">
        <f>PROGRAMADO!AW17/'Anexo '!$H$20</f>
        <v>0</v>
      </c>
      <c r="AX17" s="28">
        <f>PROGRAMADO!AX17/'Anexo '!$H$20</f>
        <v>1145429837.1188953</v>
      </c>
      <c r="AY17" s="28">
        <f>PROGRAMADO!AY17/'Anexo '!$I$20</f>
        <v>0</v>
      </c>
      <c r="AZ17" s="28">
        <f>PROGRAMADO!AZ17/'Anexo '!$I$20</f>
        <v>1270655555.731997</v>
      </c>
      <c r="BA17" s="28">
        <f>PROGRAMADO!BA17/'Anexo '!$I$20</f>
        <v>1270655555.731997</v>
      </c>
      <c r="BB17" s="28">
        <f>PROGRAMADO!BB17/'Anexo '!$I$20</f>
        <v>0</v>
      </c>
      <c r="BC17" s="28">
        <f>PROGRAMADO!BC17/'Anexo '!$I$20</f>
        <v>0</v>
      </c>
      <c r="BD17" s="28">
        <f>PROGRAMADO!BD17/'Anexo '!$I$20</f>
        <v>0</v>
      </c>
      <c r="BE17" s="28">
        <f>PROGRAMADO!BE17/'Anexo '!$I$20</f>
        <v>1270655555.731997</v>
      </c>
      <c r="BF17" s="28">
        <f>PROGRAMADO!BF17/'Anexo '!$J$20</f>
        <v>0</v>
      </c>
      <c r="BG17" s="28">
        <f>PROGRAMADO!BG17/'Anexo '!$J$20</f>
        <v>1578523289.6055126</v>
      </c>
      <c r="BH17" s="28">
        <f>PROGRAMADO!BH17/'Anexo '!$J$20</f>
        <v>1578523289.6055126</v>
      </c>
      <c r="BI17" s="28">
        <f>PROGRAMADO!BI17/'Anexo '!$J$20</f>
        <v>0</v>
      </c>
      <c r="BJ17" s="28">
        <f>PROGRAMADO!BJ17/'Anexo '!$J$20</f>
        <v>0</v>
      </c>
      <c r="BK17" s="28">
        <f>PROGRAMADO!BK17/'Anexo '!$J$20</f>
        <v>0</v>
      </c>
      <c r="BL17" s="28">
        <f>PROGRAMADO!BL17/'Anexo '!$J$20</f>
        <v>1578523289.6055126</v>
      </c>
      <c r="BM17" s="28">
        <f>PROGRAMADO!BM17/'Anexo '!$K$20</f>
        <v>0</v>
      </c>
      <c r="BN17" s="28">
        <f>PROGRAMADO!BN17/'Anexo '!$K$20</f>
        <v>1783540013.5459023</v>
      </c>
      <c r="BO17" s="28">
        <f>PROGRAMADO!BO17/'Anexo '!$K$20</f>
        <v>1783540013.5459023</v>
      </c>
      <c r="BP17" s="28">
        <f>PROGRAMADO!BP17/'Anexo '!$K$20</f>
        <v>0</v>
      </c>
      <c r="BQ17" s="28">
        <f>PROGRAMADO!BQ17/'Anexo '!$K$20</f>
        <v>0</v>
      </c>
      <c r="BR17" s="28">
        <f>PROGRAMADO!BR17/'Anexo '!$K$20</f>
        <v>0</v>
      </c>
      <c r="BS17" s="28">
        <f>PROGRAMADO!BS17/'Anexo '!$K$20</f>
        <v>1783540013.5459023</v>
      </c>
      <c r="BT17" s="28">
        <f>PROGRAMADO!BT17/'Anexo '!$L$20</f>
        <v>0</v>
      </c>
      <c r="BU17" s="28">
        <f>PROGRAMADO!BU17/'Anexo '!$L$20</f>
        <v>2192946839.9845581</v>
      </c>
      <c r="BV17" s="28">
        <f>PROGRAMADO!BV17/'Anexo '!$L$20</f>
        <v>0</v>
      </c>
      <c r="BW17" s="28">
        <f>PROGRAMADO!BW17/'Anexo '!$L$20</f>
        <v>2192946839.9845581</v>
      </c>
      <c r="BX17" s="28">
        <f>PROGRAMADO!BX17/'Anexo '!$L$20</f>
        <v>0</v>
      </c>
      <c r="BY17" s="28">
        <f>PROGRAMADO!BY17/'Anexo '!$L$20</f>
        <v>0</v>
      </c>
      <c r="BZ17" s="28">
        <f>PROGRAMADO!BZ17/'Anexo '!$L$20</f>
        <v>0</v>
      </c>
      <c r="CA17" s="28">
        <f>PROGRAMADO!CA17/'Anexo '!$L$20</f>
        <v>2192946839.9845581</v>
      </c>
      <c r="CB17" s="28">
        <f>PROGRAMADO!CB17/'Anexo '!$M$20</f>
        <v>0</v>
      </c>
      <c r="CC17" s="28">
        <f>PROGRAMADO!CC17/'Anexo '!$M$20</f>
        <v>2273197539.9136844</v>
      </c>
      <c r="CD17" s="28">
        <f>PROGRAMADO!CD17/'Anexo '!$M$20</f>
        <v>0</v>
      </c>
      <c r="CE17" s="28">
        <f>PROGRAMADO!CE17/'Anexo '!$M$20</f>
        <v>2273197539.9136844</v>
      </c>
      <c r="CF17" s="28">
        <f>PROGRAMADO!CF17/'Anexo '!$M$20</f>
        <v>0</v>
      </c>
      <c r="CG17" s="28">
        <f>PROGRAMADO!CG17/'Anexo '!$M$20</f>
        <v>0</v>
      </c>
      <c r="CH17" s="28">
        <f>PROGRAMADO!CH17/'Anexo '!$M$20</f>
        <v>0</v>
      </c>
      <c r="CI17" s="29">
        <f>PROGRAMADO!CI17/'Anexo '!$M$20</f>
        <v>2273197539.9136844</v>
      </c>
    </row>
    <row r="18" spans="1:87" x14ac:dyDescent="0.25">
      <c r="A18" s="23" t="s">
        <v>9</v>
      </c>
      <c r="B18" s="28">
        <f>PROGRAMADO!B18/'Anexo '!$B$20</f>
        <v>0</v>
      </c>
      <c r="C18" s="28">
        <f>PROGRAMADO!C18/'Anexo '!$B$20</f>
        <v>53695064.752127588</v>
      </c>
      <c r="D18" s="28">
        <f>PROGRAMADO!D18/'Anexo '!$B$20</f>
        <v>53695064.752127588</v>
      </c>
      <c r="E18" s="28">
        <f>PROGRAMADO!E18/'Anexo '!$B$20</f>
        <v>138350837.85666651</v>
      </c>
      <c r="F18" s="28">
        <f>PROGRAMADO!F18/'Anexo '!$B$20</f>
        <v>121233792.46141864</v>
      </c>
      <c r="G18" s="28">
        <f>PROGRAMADO!G18/'Anexo '!$B$20</f>
        <v>259584630.31808513</v>
      </c>
      <c r="H18" s="28">
        <f>PROGRAMADO!H18/'Anexo '!$B$20</f>
        <v>313279695.07021272</v>
      </c>
      <c r="I18" s="28">
        <f>PROGRAMADO!I18/'Anexo '!$C$20</f>
        <v>0</v>
      </c>
      <c r="J18" s="28">
        <f>PROGRAMADO!J18/'Anexo '!$C$20</f>
        <v>63916080.289318636</v>
      </c>
      <c r="K18" s="28">
        <f>PROGRAMADO!K18/'Anexo '!$C$20</f>
        <v>63916080.289318636</v>
      </c>
      <c r="L18" s="28">
        <f>PROGRAMADO!L18/'Anexo '!$C$20</f>
        <v>199233580.75218269</v>
      </c>
      <c r="M18" s="28">
        <f>PROGRAMADO!M18/'Anexo '!$C$20</f>
        <v>136578160.04343319</v>
      </c>
      <c r="N18" s="28">
        <f>PROGRAMADO!N18/'Anexo '!$C$20</f>
        <v>335811740.79561585</v>
      </c>
      <c r="O18" s="28">
        <f>PROGRAMADO!O18/'Anexo '!$C$20</f>
        <v>399727821.08493453</v>
      </c>
      <c r="P18" s="28">
        <f>PROGRAMADO!P18/'Anexo '!$D$20</f>
        <v>0</v>
      </c>
      <c r="Q18" s="28">
        <f>PROGRAMADO!Q18/'Anexo '!$D$20</f>
        <v>60112748.167401053</v>
      </c>
      <c r="R18" s="28">
        <f>PROGRAMADO!R18/'Anexo '!$D$20</f>
        <v>60112748.167401053</v>
      </c>
      <c r="S18" s="28">
        <f>PROGRAMADO!S18/'Anexo '!$D$20</f>
        <v>211153172.40858555</v>
      </c>
      <c r="T18" s="28">
        <f>PROGRAMADO!T18/'Anexo '!$D$20</f>
        <v>100755730.98559515</v>
      </c>
      <c r="U18" s="28">
        <f>PROGRAMADO!U18/'Anexo '!$D$20</f>
        <v>311908903.39418072</v>
      </c>
      <c r="V18" s="28">
        <f>PROGRAMADO!V18/'Anexo '!$D$20</f>
        <v>372021651.56158173</v>
      </c>
      <c r="W18" s="28">
        <f>PROGRAMADO!W18/'Anexo '!$E$13</f>
        <v>0</v>
      </c>
      <c r="X18" s="28">
        <f>PROGRAMADO!X18/'Anexo '!$E$13</f>
        <v>71637675.607028201</v>
      </c>
      <c r="Y18" s="28">
        <f>PROGRAMADO!Y18/'Anexo '!$E$13</f>
        <v>71637675.607028201</v>
      </c>
      <c r="Z18" s="28">
        <f>PROGRAMADO!Z18/'Anexo '!$E$13</f>
        <v>166120158.79647842</v>
      </c>
      <c r="AA18" s="28">
        <f>PROGRAMADO!AA18/'Anexo '!$E$13</f>
        <v>78320177.625933036</v>
      </c>
      <c r="AB18" s="28">
        <f>PROGRAMADO!AB18/'Anexo '!$E$13</f>
        <v>244440336.42241147</v>
      </c>
      <c r="AC18" s="28">
        <f>PROGRAMADO!AC18/'Anexo '!$E$13</f>
        <v>316078012.02943969</v>
      </c>
      <c r="AD18" s="28">
        <f>PROGRAMADO!AD18/'Anexo '!$F$20</f>
        <v>0</v>
      </c>
      <c r="AE18" s="28">
        <f>PROGRAMADO!AE18/'Anexo '!$F$20</f>
        <v>44834811.000000007</v>
      </c>
      <c r="AF18" s="28">
        <f>PROGRAMADO!AF18/'Anexo '!$F$20</f>
        <v>44834811.000000007</v>
      </c>
      <c r="AG18" s="28">
        <f>PROGRAMADO!AG18/'Anexo '!$F$20</f>
        <v>333545454.00000006</v>
      </c>
      <c r="AH18" s="28">
        <f>PROGRAMADO!AH18/'Anexo '!$F$20</f>
        <v>99571523.000000015</v>
      </c>
      <c r="AI18" s="28">
        <f>PROGRAMADO!AI18/'Anexo '!$F$20</f>
        <v>433116977.00000012</v>
      </c>
      <c r="AJ18" s="28">
        <f>PROGRAMADO!AJ18/'Anexo '!$F$20</f>
        <v>477951788.00000012</v>
      </c>
      <c r="AK18" s="28">
        <f>PROGRAMADO!AK18/'Anexo '!$G$20</f>
        <v>0</v>
      </c>
      <c r="AL18" s="28">
        <f>PROGRAMADO!AL18/'Anexo '!$G$20</f>
        <v>37926540.520012625</v>
      </c>
      <c r="AM18" s="28">
        <f>PROGRAMADO!AM18/'Anexo '!$G$20</f>
        <v>37926540.520012625</v>
      </c>
      <c r="AN18" s="28">
        <f>PROGRAMADO!AN18/'Anexo '!$G$20</f>
        <v>445670643.72117019</v>
      </c>
      <c r="AO18" s="28">
        <f>PROGRAMADO!AO18/'Anexo '!$G$20</f>
        <v>157059498.38870466</v>
      </c>
      <c r="AP18" s="28">
        <f>PROGRAMADO!AP18/'Anexo '!$G$20</f>
        <v>602730142.10987484</v>
      </c>
      <c r="AQ18" s="28">
        <f>PROGRAMADO!AQ18/'Anexo '!$G$20</f>
        <v>640656682.62988746</v>
      </c>
      <c r="AR18" s="28">
        <f>PROGRAMADO!AR18/'Anexo '!$H$20</f>
        <v>0</v>
      </c>
      <c r="AS18" s="28">
        <f>PROGRAMADO!AS18/'Anexo '!$H$20</f>
        <v>11406626.900623517</v>
      </c>
      <c r="AT18" s="28">
        <f>PROGRAMADO!AT18/'Anexo '!$H$20</f>
        <v>11406626.900623517</v>
      </c>
      <c r="AU18" s="28">
        <f>PROGRAMADO!AU18/'Anexo '!$H$20</f>
        <v>307241427.49953151</v>
      </c>
      <c r="AV18" s="28">
        <f>PROGRAMADO!AV18/'Anexo '!$H$20</f>
        <v>141710672.91584629</v>
      </c>
      <c r="AW18" s="28">
        <f>PROGRAMADO!AW18/'Anexo '!$H$20</f>
        <v>448952100.41537786</v>
      </c>
      <c r="AX18" s="28">
        <f>PROGRAMADO!AX18/'Anexo '!$H$20</f>
        <v>460358727.3160013</v>
      </c>
      <c r="AY18" s="28">
        <f>PROGRAMADO!AY18/'Anexo '!$I$20</f>
        <v>0</v>
      </c>
      <c r="AZ18" s="28">
        <f>PROGRAMADO!AZ18/'Anexo '!$I$20</f>
        <v>0</v>
      </c>
      <c r="BA18" s="28">
        <f>PROGRAMADO!BA18/'Anexo '!$I$20</f>
        <v>0</v>
      </c>
      <c r="BB18" s="28">
        <f>PROGRAMADO!BB18/'Anexo '!$I$20</f>
        <v>1100662.9222537321</v>
      </c>
      <c r="BC18" s="28">
        <f>PROGRAMADO!BC18/'Anexo '!$I$20</f>
        <v>9408007.7676527016</v>
      </c>
      <c r="BD18" s="28">
        <f>PROGRAMADO!BD18/'Anexo '!$I$20</f>
        <v>10508670.689906433</v>
      </c>
      <c r="BE18" s="28">
        <f>PROGRAMADO!BE18/'Anexo '!$I$20</f>
        <v>10508670.689906433</v>
      </c>
      <c r="BF18" s="28">
        <f>PROGRAMADO!BF18/'Anexo '!$J$20</f>
        <v>0</v>
      </c>
      <c r="BG18" s="28">
        <f>PROGRAMADO!BG18/'Anexo '!$J$20</f>
        <v>0</v>
      </c>
      <c r="BH18" s="28">
        <f>PROGRAMADO!BH18/'Anexo '!$J$20</f>
        <v>0</v>
      </c>
      <c r="BI18" s="28">
        <f>PROGRAMADO!BI18/'Anexo '!$J$20</f>
        <v>0</v>
      </c>
      <c r="BJ18" s="28">
        <f>PROGRAMADO!BJ18/'Anexo '!$J$20</f>
        <v>21795689.662293091</v>
      </c>
      <c r="BK18" s="28">
        <f>PROGRAMADO!BK18/'Anexo '!$J$20</f>
        <v>21795689.662293091</v>
      </c>
      <c r="BL18" s="28">
        <f>PROGRAMADO!BL18/'Anexo '!$J$20</f>
        <v>21795689.662293091</v>
      </c>
      <c r="BM18" s="28">
        <f>PROGRAMADO!BM18/'Anexo '!$K$20</f>
        <v>0</v>
      </c>
      <c r="BN18" s="28">
        <f>PROGRAMADO!BN18/'Anexo '!$K$20</f>
        <v>0</v>
      </c>
      <c r="BO18" s="28">
        <f>PROGRAMADO!BO18/'Anexo '!$K$20</f>
        <v>0</v>
      </c>
      <c r="BP18" s="28">
        <f>PROGRAMADO!BP18/'Anexo '!$K$20</f>
        <v>88355.431953271662</v>
      </c>
      <c r="BQ18" s="28">
        <f>PROGRAMADO!BQ18/'Anexo '!$K$20</f>
        <v>0</v>
      </c>
      <c r="BR18" s="28">
        <f>PROGRAMADO!BR18/'Anexo '!$K$20</f>
        <v>88355.431953271662</v>
      </c>
      <c r="BS18" s="28">
        <f>PROGRAMADO!BS18/'Anexo '!$K$20</f>
        <v>88355.431953271662</v>
      </c>
      <c r="BT18" s="28">
        <f>PROGRAMADO!BT18/'Anexo '!$L$20</f>
        <v>0</v>
      </c>
      <c r="BU18" s="28">
        <f>PROGRAMADO!BU18/'Anexo '!$L$20</f>
        <v>0</v>
      </c>
      <c r="BV18" s="28">
        <f>PROGRAMADO!BV18/'Anexo '!$L$20</f>
        <v>0</v>
      </c>
      <c r="BW18" s="28">
        <f>PROGRAMADO!BW18/'Anexo '!$L$20</f>
        <v>0</v>
      </c>
      <c r="BX18" s="28">
        <f>PROGRAMADO!BX18/'Anexo '!$L$20</f>
        <v>4921502.3779620538</v>
      </c>
      <c r="BY18" s="28">
        <f>PROGRAMADO!BY18/'Anexo '!$L$20</f>
        <v>4669778.7176823122</v>
      </c>
      <c r="BZ18" s="28">
        <f>PROGRAMADO!BZ18/'Anexo '!$L$20</f>
        <v>9591281.095644366</v>
      </c>
      <c r="CA18" s="28">
        <f>PROGRAMADO!CA18/'Anexo '!$L$20</f>
        <v>9591281.095644366</v>
      </c>
      <c r="CB18" s="28">
        <f>PROGRAMADO!CB18/'Anexo '!$M$20</f>
        <v>0</v>
      </c>
      <c r="CC18" s="28">
        <f>PROGRAMADO!CC18/'Anexo '!$M$20</f>
        <v>0</v>
      </c>
      <c r="CD18" s="28">
        <f>PROGRAMADO!CD18/'Anexo '!$M$20</f>
        <v>0</v>
      </c>
      <c r="CE18" s="28">
        <f>PROGRAMADO!CE18/'Anexo '!$M$20</f>
        <v>0</v>
      </c>
      <c r="CF18" s="28">
        <f>PROGRAMADO!CF18/'Anexo '!$M$20</f>
        <v>6683963.8615903202</v>
      </c>
      <c r="CG18" s="28">
        <f>PROGRAMADO!CG18/'Anexo '!$M$20</f>
        <v>7115820.3083261745</v>
      </c>
      <c r="CH18" s="28">
        <f>PROGRAMADO!CH18/'Anexo '!$M$20</f>
        <v>13799784.169916494</v>
      </c>
      <c r="CI18" s="29">
        <f>PROGRAMADO!CI18/'Anexo '!$M$20</f>
        <v>13799784.169916494</v>
      </c>
    </row>
    <row r="19" spans="1:87" x14ac:dyDescent="0.25">
      <c r="A19" s="23" t="s">
        <v>10</v>
      </c>
      <c r="B19" s="28">
        <f>PROGRAMADO!B19/'Anexo '!$B$20</f>
        <v>0</v>
      </c>
      <c r="C19" s="28">
        <f>PROGRAMADO!C19/'Anexo '!$B$20</f>
        <v>31102921.076955952</v>
      </c>
      <c r="D19" s="28">
        <f>PROGRAMADO!D19/'Anexo '!$B$20</f>
        <v>31102921.076955952</v>
      </c>
      <c r="E19" s="28">
        <f>PROGRAMADO!E19/'Anexo '!$B$20</f>
        <v>116890018.3389668</v>
      </c>
      <c r="F19" s="28">
        <f>PROGRAMADO!F19/'Anexo '!$B$20</f>
        <v>15397486.443913167</v>
      </c>
      <c r="G19" s="28">
        <f>PROGRAMADO!G19/'Anexo '!$B$20</f>
        <v>132287504.78287998</v>
      </c>
      <c r="H19" s="28">
        <f>PROGRAMADO!H19/'Anexo '!$B$20</f>
        <v>163390425.85983592</v>
      </c>
      <c r="I19" s="28">
        <f>PROGRAMADO!I19/'Anexo '!$C$20</f>
        <v>0</v>
      </c>
      <c r="J19" s="28">
        <f>PROGRAMADO!J19/'Anexo '!$C$20</f>
        <v>31661623.759237863</v>
      </c>
      <c r="K19" s="28">
        <f>PROGRAMADO!K19/'Anexo '!$C$20</f>
        <v>31661623.759237863</v>
      </c>
      <c r="L19" s="28">
        <f>PROGRAMADO!L19/'Anexo '!$C$20</f>
        <v>79136819.000628754</v>
      </c>
      <c r="M19" s="28">
        <f>PROGRAMADO!M19/'Anexo '!$C$20</f>
        <v>24231825.718608264</v>
      </c>
      <c r="N19" s="28">
        <f>PROGRAMADO!N19/'Anexo '!$C$20</f>
        <v>103368644.71923701</v>
      </c>
      <c r="O19" s="28">
        <f>PROGRAMADO!O19/'Anexo '!$C$20</f>
        <v>135030268.47847489</v>
      </c>
      <c r="P19" s="28">
        <f>PROGRAMADO!P19/'Anexo '!$D$20</f>
        <v>0</v>
      </c>
      <c r="Q19" s="28">
        <f>PROGRAMADO!Q19/'Anexo '!$D$20</f>
        <v>29877080.069359321</v>
      </c>
      <c r="R19" s="28">
        <f>PROGRAMADO!R19/'Anexo '!$D$20</f>
        <v>29877080.069359321</v>
      </c>
      <c r="S19" s="28">
        <f>PROGRAMADO!S19/'Anexo '!$D$20</f>
        <v>85796946.171034738</v>
      </c>
      <c r="T19" s="28">
        <f>PROGRAMADO!T19/'Anexo '!$D$20</f>
        <v>54941294.828280047</v>
      </c>
      <c r="U19" s="28">
        <f>PROGRAMADO!U19/'Anexo '!$D$20</f>
        <v>140738240.99931479</v>
      </c>
      <c r="V19" s="28">
        <f>PROGRAMADO!V19/'Anexo '!$D$20</f>
        <v>170615321.06867412</v>
      </c>
      <c r="W19" s="28">
        <f>PROGRAMADO!W19/'Anexo '!$E$13</f>
        <v>0</v>
      </c>
      <c r="X19" s="28">
        <f>PROGRAMADO!X19/'Anexo '!$E$13</f>
        <v>27050885.007546123</v>
      </c>
      <c r="Y19" s="28">
        <f>PROGRAMADO!Y19/'Anexo '!$E$13</f>
        <v>27050885.007546123</v>
      </c>
      <c r="Z19" s="28">
        <f>PROGRAMADO!Z19/'Anexo '!$E$13</f>
        <v>74598781.721429467</v>
      </c>
      <c r="AA19" s="28">
        <f>PROGRAMADO!AA19/'Anexo '!$E$13</f>
        <v>52368554.759626701</v>
      </c>
      <c r="AB19" s="28">
        <f>PROGRAMADO!AB19/'Anexo '!$E$13</f>
        <v>126967336.48105617</v>
      </c>
      <c r="AC19" s="28">
        <f>PROGRAMADO!AC19/'Anexo '!$E$13</f>
        <v>154018221.48860228</v>
      </c>
      <c r="AD19" s="28">
        <f>PROGRAMADO!AD19/'Anexo '!$F$20</f>
        <v>0</v>
      </c>
      <c r="AE19" s="28">
        <f>PROGRAMADO!AE19/'Anexo '!$F$20</f>
        <v>22775892.000000004</v>
      </c>
      <c r="AF19" s="28">
        <f>PROGRAMADO!AF19/'Anexo '!$F$20</f>
        <v>22775892.000000004</v>
      </c>
      <c r="AG19" s="28">
        <f>PROGRAMADO!AG19/'Anexo '!$F$20</f>
        <v>84066983.000000015</v>
      </c>
      <c r="AH19" s="28">
        <f>PROGRAMADO!AH19/'Anexo '!$F$20</f>
        <v>197823530.00000003</v>
      </c>
      <c r="AI19" s="28">
        <f>PROGRAMADO!AI19/'Anexo '!$F$20</f>
        <v>281890513.00000006</v>
      </c>
      <c r="AJ19" s="28">
        <f>PROGRAMADO!AJ19/'Anexo '!$F$20</f>
        <v>304666405.00000006</v>
      </c>
      <c r="AK19" s="28">
        <f>PROGRAMADO!AK19/'Anexo '!$G$20</f>
        <v>0</v>
      </c>
      <c r="AL19" s="28">
        <f>PROGRAMADO!AL19/'Anexo '!$G$20</f>
        <v>21730230.644575976</v>
      </c>
      <c r="AM19" s="28">
        <f>PROGRAMADO!AM19/'Anexo '!$G$20</f>
        <v>21730230.644575976</v>
      </c>
      <c r="AN19" s="28">
        <f>PROGRAMADO!AN19/'Anexo '!$G$20</f>
        <v>79094197.233947933</v>
      </c>
      <c r="AO19" s="28">
        <f>PROGRAMADO!AO19/'Anexo '!$G$20</f>
        <v>90493677.75248675</v>
      </c>
      <c r="AP19" s="28">
        <f>PROGRAMADO!AP19/'Anexo '!$G$20</f>
        <v>169587874.98643467</v>
      </c>
      <c r="AQ19" s="28">
        <f>PROGRAMADO!AQ19/'Anexo '!$G$20</f>
        <v>191318105.63101065</v>
      </c>
      <c r="AR19" s="28">
        <f>PROGRAMADO!AR19/'Anexo '!$H$20</f>
        <v>0</v>
      </c>
      <c r="AS19" s="28">
        <f>PROGRAMADO!AS19/'Anexo '!$H$20</f>
        <v>2736334.2637023679</v>
      </c>
      <c r="AT19" s="28">
        <f>PROGRAMADO!AT19/'Anexo '!$H$20</f>
        <v>2736334.2637023679</v>
      </c>
      <c r="AU19" s="28">
        <f>PROGRAMADO!AU19/'Anexo '!$H$20</f>
        <v>43660210.811616249</v>
      </c>
      <c r="AV19" s="28">
        <f>PROGRAMADO!AV19/'Anexo '!$H$20</f>
        <v>20829075.430223923</v>
      </c>
      <c r="AW19" s="28">
        <f>PROGRAMADO!AW19/'Anexo '!$H$20</f>
        <v>64489286.241840169</v>
      </c>
      <c r="AX19" s="28">
        <f>PROGRAMADO!AX19/'Anexo '!$H$20</f>
        <v>67225620.505542547</v>
      </c>
      <c r="AY19" s="28">
        <f>PROGRAMADO!AY19/'Anexo '!$I$20</f>
        <v>0</v>
      </c>
      <c r="AZ19" s="28">
        <f>PROGRAMADO!AZ19/'Anexo '!$I$20</f>
        <v>0</v>
      </c>
      <c r="BA19" s="28">
        <f>PROGRAMADO!BA19/'Anexo '!$I$20</f>
        <v>0</v>
      </c>
      <c r="BB19" s="28">
        <f>PROGRAMADO!BB19/'Anexo '!$I$20</f>
        <v>18365758.887061205</v>
      </c>
      <c r="BC19" s="28">
        <f>PROGRAMADO!BC19/'Anexo '!$I$20</f>
        <v>0</v>
      </c>
      <c r="BD19" s="28">
        <f>PROGRAMADO!BD19/'Anexo '!$I$20</f>
        <v>18365758.887061205</v>
      </c>
      <c r="BE19" s="28">
        <f>PROGRAMADO!BE19/'Anexo '!$I$20</f>
        <v>18365758.887061205</v>
      </c>
      <c r="BF19" s="28">
        <f>PROGRAMADO!BF19/'Anexo '!$J$20</f>
        <v>0</v>
      </c>
      <c r="BG19" s="28">
        <f>PROGRAMADO!BG19/'Anexo '!$J$20</f>
        <v>0</v>
      </c>
      <c r="BH19" s="28">
        <f>PROGRAMADO!BH19/'Anexo '!$J$20</f>
        <v>0</v>
      </c>
      <c r="BI19" s="28">
        <f>PROGRAMADO!BI19/'Anexo '!$J$20</f>
        <v>7227724.1656282526</v>
      </c>
      <c r="BJ19" s="28">
        <f>PROGRAMADO!BJ19/'Anexo '!$J$20</f>
        <v>0</v>
      </c>
      <c r="BK19" s="28">
        <f>PROGRAMADO!BK19/'Anexo '!$J$20</f>
        <v>7227724.1656282526</v>
      </c>
      <c r="BL19" s="28">
        <f>PROGRAMADO!BL19/'Anexo '!$J$20</f>
        <v>7227724.1656282526</v>
      </c>
      <c r="BM19" s="28">
        <f>PROGRAMADO!BM19/'Anexo '!$K$20</f>
        <v>0</v>
      </c>
      <c r="BN19" s="28">
        <f>PROGRAMADO!BN19/'Anexo '!$K$20</f>
        <v>0</v>
      </c>
      <c r="BO19" s="28">
        <f>PROGRAMADO!BO19/'Anexo '!$K$20</f>
        <v>0</v>
      </c>
      <c r="BP19" s="28">
        <f>PROGRAMADO!BP19/'Anexo '!$K$20</f>
        <v>6474950.330943821</v>
      </c>
      <c r="BQ19" s="28">
        <f>PROGRAMADO!BQ19/'Anexo '!$K$20</f>
        <v>170399.76162416677</v>
      </c>
      <c r="BR19" s="28">
        <f>PROGRAMADO!BR19/'Anexo '!$K$20</f>
        <v>6645350.0925679887</v>
      </c>
      <c r="BS19" s="28">
        <f>PROGRAMADO!BS19/'Anexo '!$K$20</f>
        <v>6645350.0925679887</v>
      </c>
      <c r="BT19" s="28">
        <f>PROGRAMADO!BT19/'Anexo '!$L$20</f>
        <v>0</v>
      </c>
      <c r="BU19" s="28">
        <f>PROGRAMADO!BU19/'Anexo '!$L$20</f>
        <v>0</v>
      </c>
      <c r="BV19" s="28">
        <f>PROGRAMADO!BV19/'Anexo '!$L$20</f>
        <v>0</v>
      </c>
      <c r="BW19" s="28">
        <f>PROGRAMADO!BW19/'Anexo '!$L$20</f>
        <v>0</v>
      </c>
      <c r="BX19" s="28">
        <f>PROGRAMADO!BX19/'Anexo '!$L$20</f>
        <v>12707866.543616837</v>
      </c>
      <c r="BY19" s="28">
        <f>PROGRAMADO!BY19/'Anexo '!$L$20</f>
        <v>17177583.612390958</v>
      </c>
      <c r="BZ19" s="28">
        <f>PROGRAMADO!BZ19/'Anexo '!$L$20</f>
        <v>29885450.156007797</v>
      </c>
      <c r="CA19" s="28">
        <f>PROGRAMADO!CA19/'Anexo '!$L$20</f>
        <v>29885450.156007797</v>
      </c>
      <c r="CB19" s="28">
        <f>PROGRAMADO!CB19/'Anexo '!$M$20</f>
        <v>0</v>
      </c>
      <c r="CC19" s="28">
        <f>PROGRAMADO!CC19/'Anexo '!$M$20</f>
        <v>0</v>
      </c>
      <c r="CD19" s="28">
        <f>PROGRAMADO!CD19/'Anexo '!$M$20</f>
        <v>493302.0030609942</v>
      </c>
      <c r="CE19" s="28">
        <f>PROGRAMADO!CE19/'Anexo '!$M$20</f>
        <v>493302.0030609942</v>
      </c>
      <c r="CF19" s="28">
        <f>PROGRAMADO!CF19/'Anexo '!$M$20</f>
        <v>19254615.679281838</v>
      </c>
      <c r="CG19" s="28">
        <f>PROGRAMADO!CG19/'Anexo '!$M$20</f>
        <v>26725530.583853625</v>
      </c>
      <c r="CH19" s="28">
        <f>PROGRAMADO!CH19/'Anexo '!$M$20</f>
        <v>45980146.263135463</v>
      </c>
      <c r="CI19" s="29">
        <f>PROGRAMADO!CI19/'Anexo '!$M$20</f>
        <v>46473448.26619646</v>
      </c>
    </row>
    <row r="20" spans="1:87" x14ac:dyDescent="0.25">
      <c r="A20" s="23" t="s">
        <v>11</v>
      </c>
      <c r="B20" s="28">
        <f>PROGRAMADO!B20/'Anexo '!$B$20</f>
        <v>0</v>
      </c>
      <c r="C20" s="28">
        <f>PROGRAMADO!C20/'Anexo '!$B$20</f>
        <v>19494608.231019955</v>
      </c>
      <c r="D20" s="28">
        <f>PROGRAMADO!D20/'Anexo '!$B$20</f>
        <v>19494608.231019955</v>
      </c>
      <c r="E20" s="28">
        <f>PROGRAMADO!E20/'Anexo '!$B$20</f>
        <v>34490922.404128827</v>
      </c>
      <c r="F20" s="28">
        <f>PROGRAMADO!F20/'Anexo '!$B$20</f>
        <v>46143409.252898641</v>
      </c>
      <c r="G20" s="28">
        <f>PROGRAMADO!G20/'Anexo '!$B$20</f>
        <v>80634331.657027468</v>
      </c>
      <c r="H20" s="28">
        <f>PROGRAMADO!H20/'Anexo '!$B$20</f>
        <v>100128939.88804743</v>
      </c>
      <c r="I20" s="28">
        <f>PROGRAMADO!I20/'Anexo '!$C$20</f>
        <v>0</v>
      </c>
      <c r="J20" s="28">
        <f>PROGRAMADO!J20/'Anexo '!$C$20</f>
        <v>26296955.613448042</v>
      </c>
      <c r="K20" s="28">
        <f>PROGRAMADO!K20/'Anexo '!$C$20</f>
        <v>26296955.613448042</v>
      </c>
      <c r="L20" s="28">
        <f>PROGRAMADO!L20/'Anexo '!$C$20</f>
        <v>23280352.074896447</v>
      </c>
      <c r="M20" s="28">
        <f>PROGRAMADO!M20/'Anexo '!$C$20</f>
        <v>55358653.879649304</v>
      </c>
      <c r="N20" s="28">
        <f>PROGRAMADO!N20/'Anexo '!$C$20</f>
        <v>78639005.954545751</v>
      </c>
      <c r="O20" s="28">
        <f>PROGRAMADO!O20/'Anexo '!$C$20</f>
        <v>104935961.56799379</v>
      </c>
      <c r="P20" s="28">
        <f>PROGRAMADO!P20/'Anexo '!$D$20</f>
        <v>0</v>
      </c>
      <c r="Q20" s="28">
        <f>PROGRAMADO!Q20/'Anexo '!$D$20</f>
        <v>16565701.078460615</v>
      </c>
      <c r="R20" s="28">
        <f>PROGRAMADO!R20/'Anexo '!$D$20</f>
        <v>16565701.078460615</v>
      </c>
      <c r="S20" s="28">
        <f>PROGRAMADO!S20/'Anexo '!$D$20</f>
        <v>25216821.875276588</v>
      </c>
      <c r="T20" s="28">
        <f>PROGRAMADO!T20/'Anexo '!$D$20</f>
        <v>89996483.208859026</v>
      </c>
      <c r="U20" s="28">
        <f>PROGRAMADO!U20/'Anexo '!$D$20</f>
        <v>115213305.08413561</v>
      </c>
      <c r="V20" s="28">
        <f>PROGRAMADO!V20/'Anexo '!$D$20</f>
        <v>131779006.16259623</v>
      </c>
      <c r="W20" s="28">
        <f>PROGRAMADO!W20/'Anexo '!$E$13</f>
        <v>0</v>
      </c>
      <c r="X20" s="28">
        <f>PROGRAMADO!X20/'Anexo '!$E$13</f>
        <v>15309883.499716375</v>
      </c>
      <c r="Y20" s="28">
        <f>PROGRAMADO!Y20/'Anexo '!$E$13</f>
        <v>15309883.499716375</v>
      </c>
      <c r="Z20" s="28">
        <f>PROGRAMADO!Z20/'Anexo '!$E$13</f>
        <v>27212283.788841125</v>
      </c>
      <c r="AA20" s="28">
        <f>PROGRAMADO!AA20/'Anexo '!$E$13</f>
        <v>87942912.00612469</v>
      </c>
      <c r="AB20" s="28">
        <f>PROGRAMADO!AB20/'Anexo '!$E$13</f>
        <v>115155195.79496582</v>
      </c>
      <c r="AC20" s="28">
        <f>PROGRAMADO!AC20/'Anexo '!$E$13</f>
        <v>130465079.29468219</v>
      </c>
      <c r="AD20" s="28">
        <f>PROGRAMADO!AD20/'Anexo '!$F$20</f>
        <v>0</v>
      </c>
      <c r="AE20" s="28">
        <f>PROGRAMADO!AE20/'Anexo '!$F$20</f>
        <v>10780178.000000002</v>
      </c>
      <c r="AF20" s="28">
        <f>PROGRAMADO!AF20/'Anexo '!$F$20</f>
        <v>10780178.000000002</v>
      </c>
      <c r="AG20" s="28">
        <f>PROGRAMADO!AG20/'Anexo '!$F$20</f>
        <v>87754984.000000015</v>
      </c>
      <c r="AH20" s="28">
        <f>PROGRAMADO!AH20/'Anexo '!$F$20</f>
        <v>64547684.000000022</v>
      </c>
      <c r="AI20" s="28">
        <f>PROGRAMADO!AI20/'Anexo '!$F$20</f>
        <v>152302668.00000003</v>
      </c>
      <c r="AJ20" s="28">
        <f>PROGRAMADO!AJ20/'Anexo '!$F$20</f>
        <v>163082846.00000003</v>
      </c>
      <c r="AK20" s="28">
        <f>PROGRAMADO!AK20/'Anexo '!$G$20</f>
        <v>0</v>
      </c>
      <c r="AL20" s="28">
        <f>PROGRAMADO!AL20/'Anexo '!$G$20</f>
        <v>9563787.7214603554</v>
      </c>
      <c r="AM20" s="28">
        <f>PROGRAMADO!AM20/'Anexo '!$G$20</f>
        <v>9563787.7214603554</v>
      </c>
      <c r="AN20" s="28">
        <f>PROGRAMADO!AN20/'Anexo '!$G$20</f>
        <v>83452647.001966491</v>
      </c>
      <c r="AO20" s="28">
        <f>PROGRAMADO!AO20/'Anexo '!$G$20</f>
        <v>19395810.171059527</v>
      </c>
      <c r="AP20" s="28">
        <f>PROGRAMADO!AP20/'Anexo '!$G$20</f>
        <v>102848457.17302601</v>
      </c>
      <c r="AQ20" s="28">
        <f>PROGRAMADO!AQ20/'Anexo '!$G$20</f>
        <v>112412244.89448637</v>
      </c>
      <c r="AR20" s="28">
        <f>PROGRAMADO!AR20/'Anexo '!$H$20</f>
        <v>0</v>
      </c>
      <c r="AS20" s="28">
        <f>PROGRAMADO!AS20/'Anexo '!$H$20</f>
        <v>37920967.103618912</v>
      </c>
      <c r="AT20" s="28">
        <f>PROGRAMADO!AT20/'Anexo '!$H$20</f>
        <v>37920967.103618912</v>
      </c>
      <c r="AU20" s="28">
        <f>PROGRAMADO!AU20/'Anexo '!$H$20</f>
        <v>37350532.866315834</v>
      </c>
      <c r="AV20" s="28">
        <f>PROGRAMADO!AV20/'Anexo '!$H$20</f>
        <v>5818597.2677940773</v>
      </c>
      <c r="AW20" s="28">
        <f>PROGRAMADO!AW20/'Anexo '!$H$20</f>
        <v>43169130.134109914</v>
      </c>
      <c r="AX20" s="28">
        <f>PROGRAMADO!AX20/'Anexo '!$H$20</f>
        <v>81090097.237728834</v>
      </c>
      <c r="AY20" s="28">
        <f>PROGRAMADO!AY20/'Anexo '!$I$20</f>
        <v>0</v>
      </c>
      <c r="AZ20" s="28">
        <f>PROGRAMADO!AZ20/'Anexo '!$I$20</f>
        <v>0</v>
      </c>
      <c r="BA20" s="28">
        <f>PROGRAMADO!BA20/'Anexo '!$I$20</f>
        <v>0</v>
      </c>
      <c r="BB20" s="28">
        <f>PROGRAMADO!BB20/'Anexo '!$I$20</f>
        <v>0</v>
      </c>
      <c r="BC20" s="28">
        <f>PROGRAMADO!BC20/'Anexo '!$I$20</f>
        <v>355598.79026659037</v>
      </c>
      <c r="BD20" s="28">
        <f>PROGRAMADO!BD20/'Anexo '!$I$20</f>
        <v>355598.79026659037</v>
      </c>
      <c r="BE20" s="28">
        <f>PROGRAMADO!BE20/'Anexo '!$I$20</f>
        <v>355598.79026659037</v>
      </c>
      <c r="BF20" s="28">
        <f>PROGRAMADO!BF20/'Anexo '!$J$20</f>
        <v>0</v>
      </c>
      <c r="BG20" s="28">
        <f>PROGRAMADO!BG20/'Anexo '!$J$20</f>
        <v>0</v>
      </c>
      <c r="BH20" s="28">
        <f>PROGRAMADO!BH20/'Anexo '!$J$20</f>
        <v>0</v>
      </c>
      <c r="BI20" s="28">
        <f>PROGRAMADO!BI20/'Anexo '!$J$20</f>
        <v>2210355.9594458127</v>
      </c>
      <c r="BJ20" s="28">
        <f>PROGRAMADO!BJ20/'Anexo '!$J$20</f>
        <v>386979.74411206617</v>
      </c>
      <c r="BK20" s="28">
        <f>PROGRAMADO!BK20/'Anexo '!$J$20</f>
        <v>2597335.7035578792</v>
      </c>
      <c r="BL20" s="28">
        <f>PROGRAMADO!BL20/'Anexo '!$J$20</f>
        <v>2597335.7035578792</v>
      </c>
      <c r="BM20" s="28">
        <f>PROGRAMADO!BM20/'Anexo '!$K$20</f>
        <v>0</v>
      </c>
      <c r="BN20" s="28">
        <f>PROGRAMADO!BN20/'Anexo '!$K$20</f>
        <v>0</v>
      </c>
      <c r="BO20" s="28">
        <f>PROGRAMADO!BO20/'Anexo '!$K$20</f>
        <v>0</v>
      </c>
      <c r="BP20" s="28">
        <f>PROGRAMADO!BP20/'Anexo '!$K$20</f>
        <v>15354783.264313135</v>
      </c>
      <c r="BQ20" s="28">
        <f>PROGRAMADO!BQ20/'Anexo '!$K$20</f>
        <v>2032514.1566729259</v>
      </c>
      <c r="BR20" s="28">
        <f>PROGRAMADO!BR20/'Anexo '!$K$20</f>
        <v>17387297.420986064</v>
      </c>
      <c r="BS20" s="28">
        <f>PROGRAMADO!BS20/'Anexo '!$K$20</f>
        <v>17387297.420986064</v>
      </c>
      <c r="BT20" s="28">
        <f>PROGRAMADO!BT20/'Anexo '!$L$20</f>
        <v>0</v>
      </c>
      <c r="BU20" s="28">
        <f>PROGRAMADO!BU20/'Anexo '!$L$20</f>
        <v>0</v>
      </c>
      <c r="BV20" s="28">
        <f>PROGRAMADO!BV20/'Anexo '!$L$20</f>
        <v>0</v>
      </c>
      <c r="BW20" s="28">
        <f>PROGRAMADO!BW20/'Anexo '!$L$20</f>
        <v>0</v>
      </c>
      <c r="BX20" s="28">
        <f>PROGRAMADO!BX20/'Anexo '!$L$20</f>
        <v>0</v>
      </c>
      <c r="BY20" s="28">
        <f>PROGRAMADO!BY20/'Anexo '!$L$20</f>
        <v>5335664.0003167763</v>
      </c>
      <c r="BZ20" s="28">
        <f>PROGRAMADO!BZ20/'Anexo '!$L$20</f>
        <v>5335664.0003167763</v>
      </c>
      <c r="CA20" s="28">
        <f>PROGRAMADO!CA20/'Anexo '!$L$20</f>
        <v>5335664.0003167763</v>
      </c>
      <c r="CB20" s="28">
        <f>PROGRAMADO!CB20/'Anexo '!$M$20</f>
        <v>0</v>
      </c>
      <c r="CC20" s="28">
        <f>PROGRAMADO!CC20/'Anexo '!$M$20</f>
        <v>3393657.148190659</v>
      </c>
      <c r="CD20" s="28">
        <f>PROGRAMADO!CD20/'Anexo '!$M$20</f>
        <v>0</v>
      </c>
      <c r="CE20" s="28">
        <f>PROGRAMADO!CE20/'Anexo '!$M$20</f>
        <v>3393657.148190659</v>
      </c>
      <c r="CF20" s="28">
        <f>PROGRAMADO!CF20/'Anexo '!$M$20</f>
        <v>0</v>
      </c>
      <c r="CG20" s="28">
        <f>PROGRAMADO!CG20/'Anexo '!$M$20</f>
        <v>6034679.1950270385</v>
      </c>
      <c r="CH20" s="28">
        <f>PROGRAMADO!CH20/'Anexo '!$M$20</f>
        <v>6034679.1950270385</v>
      </c>
      <c r="CI20" s="29">
        <f>PROGRAMADO!CI20/'Anexo '!$M$20</f>
        <v>9428336.343217697</v>
      </c>
    </row>
    <row r="21" spans="1:87" x14ac:dyDescent="0.25">
      <c r="A21" s="23" t="s">
        <v>12</v>
      </c>
      <c r="B21" s="28">
        <f>PROGRAMADO!B21/'Anexo '!$B$20</f>
        <v>0</v>
      </c>
      <c r="C21" s="28">
        <f>PROGRAMADO!C21/'Anexo '!$B$20</f>
        <v>69275323.979375929</v>
      </c>
      <c r="D21" s="28">
        <f>PROGRAMADO!D21/'Anexo '!$B$20</f>
        <v>69275323.979375929</v>
      </c>
      <c r="E21" s="28">
        <f>PROGRAMADO!E21/'Anexo '!$B$20</f>
        <v>214688474.59181818</v>
      </c>
      <c r="F21" s="28">
        <f>PROGRAMADO!F21/'Anexo '!$B$20</f>
        <v>283508910.62918156</v>
      </c>
      <c r="G21" s="28">
        <f>PROGRAMADO!G21/'Anexo '!$B$20</f>
        <v>498197385.22099978</v>
      </c>
      <c r="H21" s="28">
        <f>PROGRAMADO!H21/'Anexo '!$B$20</f>
        <v>567472709.20037568</v>
      </c>
      <c r="I21" s="28">
        <f>PROGRAMADO!I21/'Anexo '!$C$20</f>
        <v>0</v>
      </c>
      <c r="J21" s="28">
        <f>PROGRAMADO!J21/'Anexo '!$C$20</f>
        <v>75261183.428388983</v>
      </c>
      <c r="K21" s="28">
        <f>PROGRAMADO!K21/'Anexo '!$C$20</f>
        <v>75261183.428388983</v>
      </c>
      <c r="L21" s="28">
        <f>PROGRAMADO!L21/'Anexo '!$C$20</f>
        <v>338570584.41561341</v>
      </c>
      <c r="M21" s="28">
        <f>PROGRAMADO!M21/'Anexo '!$C$20</f>
        <v>139964822.69714689</v>
      </c>
      <c r="N21" s="28">
        <f>PROGRAMADO!N21/'Anexo '!$C$20</f>
        <v>478535407.11276025</v>
      </c>
      <c r="O21" s="28">
        <f>PROGRAMADO!O21/'Anexo '!$C$20</f>
        <v>553796590.54114926</v>
      </c>
      <c r="P21" s="28">
        <f>PROGRAMADO!P21/'Anexo '!$D$20</f>
        <v>0</v>
      </c>
      <c r="Q21" s="28">
        <f>PROGRAMADO!Q21/'Anexo '!$D$20</f>
        <v>67877400.402405366</v>
      </c>
      <c r="R21" s="28">
        <f>PROGRAMADO!R21/'Anexo '!$D$20</f>
        <v>67877400.402405366</v>
      </c>
      <c r="S21" s="28">
        <f>PROGRAMADO!S21/'Anexo '!$D$20</f>
        <v>317131990.90774059</v>
      </c>
      <c r="T21" s="28">
        <f>PROGRAMADO!T21/'Anexo '!$D$20</f>
        <v>228944310.72050622</v>
      </c>
      <c r="U21" s="28">
        <f>PROGRAMADO!U21/'Anexo '!$D$20</f>
        <v>546076301.62824678</v>
      </c>
      <c r="V21" s="28">
        <f>PROGRAMADO!V21/'Anexo '!$D$20</f>
        <v>613953702.03065217</v>
      </c>
      <c r="W21" s="28">
        <f>PROGRAMADO!W21/'Anexo '!$E$13</f>
        <v>0</v>
      </c>
      <c r="X21" s="28">
        <f>PROGRAMADO!X21/'Anexo '!$E$13</f>
        <v>61064120.859681994</v>
      </c>
      <c r="Y21" s="28">
        <f>PROGRAMADO!Y21/'Anexo '!$E$13</f>
        <v>61064120.859681994</v>
      </c>
      <c r="Z21" s="28">
        <f>PROGRAMADO!Z21/'Anexo '!$E$13</f>
        <v>267945268.7790556</v>
      </c>
      <c r="AA21" s="28">
        <f>PROGRAMADO!AA21/'Anexo '!$E$13</f>
        <v>202945190.13220173</v>
      </c>
      <c r="AB21" s="28">
        <f>PROGRAMADO!AB21/'Anexo '!$E$13</f>
        <v>470890458.91125733</v>
      </c>
      <c r="AC21" s="28">
        <f>PROGRAMADO!AC21/'Anexo '!$E$13</f>
        <v>531954579.77093935</v>
      </c>
      <c r="AD21" s="28">
        <f>PROGRAMADO!AD21/'Anexo '!$F$20</f>
        <v>0</v>
      </c>
      <c r="AE21" s="28">
        <f>PROGRAMADO!AE21/'Anexo '!$F$20</f>
        <v>54420000.000000015</v>
      </c>
      <c r="AF21" s="28">
        <f>PROGRAMADO!AF21/'Anexo '!$F$20</f>
        <v>54420000.000000015</v>
      </c>
      <c r="AG21" s="28">
        <f>PROGRAMADO!AG21/'Anexo '!$F$20</f>
        <v>218573765.00000006</v>
      </c>
      <c r="AH21" s="28">
        <f>PROGRAMADO!AH21/'Anexo '!$F$20</f>
        <v>305254000.00000006</v>
      </c>
      <c r="AI21" s="28">
        <f>PROGRAMADO!AI21/'Anexo '!$F$20</f>
        <v>523827765.00000012</v>
      </c>
      <c r="AJ21" s="28">
        <f>PROGRAMADO!AJ21/'Anexo '!$F$20</f>
        <v>578247765.00000012</v>
      </c>
      <c r="AK21" s="28">
        <f>PROGRAMADO!AK21/'Anexo '!$G$20</f>
        <v>0</v>
      </c>
      <c r="AL21" s="28">
        <f>PROGRAMADO!AL21/'Anexo '!$G$20</f>
        <v>36410480.545984969</v>
      </c>
      <c r="AM21" s="28">
        <f>PROGRAMADO!AM21/'Anexo '!$G$20</f>
        <v>36410480.545984969</v>
      </c>
      <c r="AN21" s="28">
        <f>PROGRAMADO!AN21/'Anexo '!$G$20</f>
        <v>101706226.83029701</v>
      </c>
      <c r="AO21" s="28">
        <f>PROGRAMADO!AO21/'Anexo '!$G$20</f>
        <v>361727618.63255149</v>
      </c>
      <c r="AP21" s="28">
        <f>PROGRAMADO!AP21/'Anexo '!$G$20</f>
        <v>463433845.46284848</v>
      </c>
      <c r="AQ21" s="28">
        <f>PROGRAMADO!AQ21/'Anexo '!$G$20</f>
        <v>499844326.00883347</v>
      </c>
      <c r="AR21" s="28">
        <f>PROGRAMADO!AR21/'Anexo '!$H$20</f>
        <v>0</v>
      </c>
      <c r="AS21" s="28">
        <f>PROGRAMADO!AS21/'Anexo '!$H$20</f>
        <v>20295972.564422313</v>
      </c>
      <c r="AT21" s="28">
        <f>PROGRAMADO!AT21/'Anexo '!$H$20</f>
        <v>20295972.564422313</v>
      </c>
      <c r="AU21" s="28">
        <f>PROGRAMADO!AU21/'Anexo '!$H$20</f>
        <v>167481534.20096806</v>
      </c>
      <c r="AV21" s="28">
        <f>PROGRAMADO!AV21/'Anexo '!$H$20</f>
        <v>185642126.40893337</v>
      </c>
      <c r="AW21" s="28">
        <f>PROGRAMADO!AW21/'Anexo '!$H$20</f>
        <v>353123660.60990143</v>
      </c>
      <c r="AX21" s="28">
        <f>PROGRAMADO!AX21/'Anexo '!$H$20</f>
        <v>373419633.17432374</v>
      </c>
      <c r="AY21" s="28">
        <f>PROGRAMADO!AY21/'Anexo '!$I$20</f>
        <v>0</v>
      </c>
      <c r="AZ21" s="28">
        <f>PROGRAMADO!AZ21/'Anexo '!$I$20</f>
        <v>0</v>
      </c>
      <c r="BA21" s="28">
        <f>PROGRAMADO!BA21/'Anexo '!$I$20</f>
        <v>0</v>
      </c>
      <c r="BB21" s="28">
        <f>PROGRAMADO!BB21/'Anexo '!$I$20</f>
        <v>6498779.5580685269</v>
      </c>
      <c r="BC21" s="28">
        <f>PROGRAMADO!BC21/'Anexo '!$I$20</f>
        <v>46221645.155740671</v>
      </c>
      <c r="BD21" s="28">
        <f>PROGRAMADO!BD21/'Anexo '!$I$20</f>
        <v>52720424.7138092</v>
      </c>
      <c r="BE21" s="28">
        <f>PROGRAMADO!BE21/'Anexo '!$I$20</f>
        <v>52720424.7138092</v>
      </c>
      <c r="BF21" s="28">
        <f>PROGRAMADO!BF21/'Anexo '!$J$20</f>
        <v>0</v>
      </c>
      <c r="BG21" s="28">
        <f>PROGRAMADO!BG21/'Anexo '!$J$20</f>
        <v>0</v>
      </c>
      <c r="BH21" s="28">
        <f>PROGRAMADO!BH21/'Anexo '!$J$20</f>
        <v>0</v>
      </c>
      <c r="BI21" s="28">
        <f>PROGRAMADO!BI21/'Anexo '!$J$20</f>
        <v>9719092.5578197464</v>
      </c>
      <c r="BJ21" s="28">
        <f>PROGRAMADO!BJ21/'Anexo '!$J$20</f>
        <v>47410275.784436196</v>
      </c>
      <c r="BK21" s="28">
        <f>PROGRAMADO!BK21/'Anexo '!$J$20</f>
        <v>57129368.342255943</v>
      </c>
      <c r="BL21" s="28">
        <f>PROGRAMADO!BL21/'Anexo '!$J$20</f>
        <v>57129368.342255943</v>
      </c>
      <c r="BM21" s="28">
        <f>PROGRAMADO!BM21/'Anexo '!$K$20</f>
        <v>0</v>
      </c>
      <c r="BN21" s="28">
        <f>PROGRAMADO!BN21/'Anexo '!$K$20</f>
        <v>0</v>
      </c>
      <c r="BO21" s="28">
        <f>PROGRAMADO!BO21/'Anexo '!$K$20</f>
        <v>0</v>
      </c>
      <c r="BP21" s="28">
        <f>PROGRAMADO!BP21/'Anexo '!$K$20</f>
        <v>0</v>
      </c>
      <c r="BQ21" s="28">
        <f>PROGRAMADO!BQ21/'Anexo '!$K$20</f>
        <v>42165022.625568494</v>
      </c>
      <c r="BR21" s="28">
        <f>PROGRAMADO!BR21/'Anexo '!$K$20</f>
        <v>42165022.625568494</v>
      </c>
      <c r="BS21" s="28">
        <f>PROGRAMADO!BS21/'Anexo '!$K$20</f>
        <v>42165022.625568494</v>
      </c>
      <c r="BT21" s="28">
        <f>PROGRAMADO!BT21/'Anexo '!$L$20</f>
        <v>0</v>
      </c>
      <c r="BU21" s="28">
        <f>PROGRAMADO!BU21/'Anexo '!$L$20</f>
        <v>0</v>
      </c>
      <c r="BV21" s="28">
        <f>PROGRAMADO!BV21/'Anexo '!$L$20</f>
        <v>0</v>
      </c>
      <c r="BW21" s="28">
        <f>PROGRAMADO!BW21/'Anexo '!$L$20</f>
        <v>0</v>
      </c>
      <c r="BX21" s="28">
        <f>PROGRAMADO!BX21/'Anexo '!$L$20</f>
        <v>0</v>
      </c>
      <c r="BY21" s="28">
        <f>PROGRAMADO!BY21/'Anexo '!$L$20</f>
        <v>28013745.016339295</v>
      </c>
      <c r="BZ21" s="28">
        <f>PROGRAMADO!BZ21/'Anexo '!$L$20</f>
        <v>28013745.016339295</v>
      </c>
      <c r="CA21" s="28">
        <f>PROGRAMADO!CA21/'Anexo '!$L$20</f>
        <v>28013745.016339295</v>
      </c>
      <c r="CB21" s="28">
        <f>PROGRAMADO!CB21/'Anexo '!$M$20</f>
        <v>0</v>
      </c>
      <c r="CC21" s="28">
        <f>PROGRAMADO!CC21/'Anexo '!$M$20</f>
        <v>0</v>
      </c>
      <c r="CD21" s="28">
        <f>PROGRAMADO!CD21/'Anexo '!$M$20</f>
        <v>0</v>
      </c>
      <c r="CE21" s="28">
        <f>PROGRAMADO!CE21/'Anexo '!$M$20</f>
        <v>0</v>
      </c>
      <c r="CF21" s="28">
        <f>PROGRAMADO!CF21/'Anexo '!$M$20</f>
        <v>0</v>
      </c>
      <c r="CG21" s="28">
        <f>PROGRAMADO!CG21/'Anexo '!$M$20</f>
        <v>0</v>
      </c>
      <c r="CH21" s="28">
        <f>PROGRAMADO!CH21/'Anexo '!$M$20</f>
        <v>0</v>
      </c>
      <c r="CI21" s="29">
        <f>PROGRAMADO!CI21/'Anexo '!$M$20</f>
        <v>0</v>
      </c>
    </row>
    <row r="22" spans="1:87" x14ac:dyDescent="0.25">
      <c r="A22" s="23" t="s">
        <v>13</v>
      </c>
      <c r="B22" s="28">
        <f>PROGRAMADO!B22/'Anexo '!$B$20</f>
        <v>0</v>
      </c>
      <c r="C22" s="28">
        <f>PROGRAMADO!C22/'Anexo '!$B$20</f>
        <v>16937235.088304482</v>
      </c>
      <c r="D22" s="28">
        <f>PROGRAMADO!D22/'Anexo '!$B$20</f>
        <v>16937235.088304482</v>
      </c>
      <c r="E22" s="28">
        <f>PROGRAMADO!E22/'Anexo '!$B$20</f>
        <v>0</v>
      </c>
      <c r="F22" s="28">
        <f>PROGRAMADO!F22/'Anexo '!$B$20</f>
        <v>0</v>
      </c>
      <c r="G22" s="28">
        <f>PROGRAMADO!G22/'Anexo '!$B$20</f>
        <v>0</v>
      </c>
      <c r="H22" s="28">
        <f>PROGRAMADO!H22/'Anexo '!$B$20</f>
        <v>16937235.088304482</v>
      </c>
      <c r="I22" s="28">
        <f>PROGRAMADO!I22/'Anexo '!$C$20</f>
        <v>0</v>
      </c>
      <c r="J22" s="28">
        <f>PROGRAMADO!J22/'Anexo '!$C$20</f>
        <v>16323124.538316021</v>
      </c>
      <c r="K22" s="28">
        <f>PROGRAMADO!K22/'Anexo '!$C$20</f>
        <v>16323124.538316021</v>
      </c>
      <c r="L22" s="28">
        <f>PROGRAMADO!L22/'Anexo '!$C$20</f>
        <v>14372065.520242117</v>
      </c>
      <c r="M22" s="28">
        <f>PROGRAMADO!M22/'Anexo '!$C$20</f>
        <v>0</v>
      </c>
      <c r="N22" s="28">
        <f>PROGRAMADO!N22/'Anexo '!$C$20</f>
        <v>14372065.520242117</v>
      </c>
      <c r="O22" s="28">
        <f>PROGRAMADO!O22/'Anexo '!$C$20</f>
        <v>30695190.058558136</v>
      </c>
      <c r="P22" s="28">
        <f>PROGRAMADO!P22/'Anexo '!$D$20</f>
        <v>0</v>
      </c>
      <c r="Q22" s="28">
        <f>PROGRAMADO!Q22/'Anexo '!$D$20</f>
        <v>15537027.653818285</v>
      </c>
      <c r="R22" s="28">
        <f>PROGRAMADO!R22/'Anexo '!$D$20</f>
        <v>15537027.653818285</v>
      </c>
      <c r="S22" s="28">
        <f>PROGRAMADO!S22/'Anexo '!$D$20</f>
        <v>11260691.055453328</v>
      </c>
      <c r="T22" s="28">
        <f>PROGRAMADO!T22/'Anexo '!$D$20</f>
        <v>0</v>
      </c>
      <c r="U22" s="28">
        <f>PROGRAMADO!U22/'Anexo '!$D$20</f>
        <v>11260691.055453328</v>
      </c>
      <c r="V22" s="28">
        <f>PROGRAMADO!V22/'Anexo '!$D$20</f>
        <v>26797718.709271614</v>
      </c>
      <c r="W22" s="28">
        <f>PROGRAMADO!W22/'Anexo '!$E$13</f>
        <v>0</v>
      </c>
      <c r="X22" s="28">
        <f>PROGRAMADO!X22/'Anexo '!$E$13</f>
        <v>22306976.344614044</v>
      </c>
      <c r="Y22" s="28">
        <f>PROGRAMADO!Y22/'Anexo '!$E$13</f>
        <v>22306976.344614044</v>
      </c>
      <c r="Z22" s="28">
        <f>PROGRAMADO!Z22/'Anexo '!$E$13</f>
        <v>19287332.262889236</v>
      </c>
      <c r="AA22" s="28">
        <f>PROGRAMADO!AA22/'Anexo '!$E$13</f>
        <v>46298240.938128173</v>
      </c>
      <c r="AB22" s="28">
        <f>PROGRAMADO!AB22/'Anexo '!$E$13</f>
        <v>65585573.20101741</v>
      </c>
      <c r="AC22" s="28">
        <f>PROGRAMADO!AC22/'Anexo '!$E$13</f>
        <v>87892549.545631453</v>
      </c>
      <c r="AD22" s="28">
        <f>PROGRAMADO!AD22/'Anexo '!$F$20</f>
        <v>0</v>
      </c>
      <c r="AE22" s="28">
        <f>PROGRAMADO!AE22/'Anexo '!$F$20</f>
        <v>18310000.000000004</v>
      </c>
      <c r="AF22" s="28">
        <f>PROGRAMADO!AF22/'Anexo '!$F$20</f>
        <v>18310000.000000004</v>
      </c>
      <c r="AG22" s="28">
        <f>PROGRAMADO!AG22/'Anexo '!$F$20</f>
        <v>11459000.000000002</v>
      </c>
      <c r="AH22" s="28">
        <f>PROGRAMADO!AH22/'Anexo '!$F$20</f>
        <v>1144000.0000000002</v>
      </c>
      <c r="AI22" s="28">
        <f>PROGRAMADO!AI22/'Anexo '!$F$20</f>
        <v>12603000.000000004</v>
      </c>
      <c r="AJ22" s="28">
        <f>PROGRAMADO!AJ22/'Anexo '!$F$20</f>
        <v>30913000.000000007</v>
      </c>
      <c r="AK22" s="28">
        <f>PROGRAMADO!AK22/'Anexo '!$G$20</f>
        <v>0</v>
      </c>
      <c r="AL22" s="28">
        <f>PROGRAMADO!AL22/'Anexo '!$G$20</f>
        <v>4759334.5782351689</v>
      </c>
      <c r="AM22" s="28">
        <f>PROGRAMADO!AM22/'Anexo '!$G$20</f>
        <v>4759334.5782351689</v>
      </c>
      <c r="AN22" s="28">
        <f>PROGRAMADO!AN22/'Anexo '!$G$20</f>
        <v>6283214.989527219</v>
      </c>
      <c r="AO22" s="28">
        <f>PROGRAMADO!AO22/'Anexo '!$G$20</f>
        <v>6149379.3018000014</v>
      </c>
      <c r="AP22" s="28">
        <f>PROGRAMADO!AP22/'Anexo '!$G$20</f>
        <v>12432594.291327221</v>
      </c>
      <c r="AQ22" s="28">
        <f>PROGRAMADO!AQ22/'Anexo '!$G$20</f>
        <v>17191928.869562391</v>
      </c>
      <c r="AR22" s="28">
        <f>PROGRAMADO!AR22/'Anexo '!$H$20</f>
        <v>0</v>
      </c>
      <c r="AS22" s="28">
        <f>PROGRAMADO!AS22/'Anexo '!$H$20</f>
        <v>0</v>
      </c>
      <c r="AT22" s="28">
        <f>PROGRAMADO!AT22/'Anexo '!$H$20</f>
        <v>0</v>
      </c>
      <c r="AU22" s="28">
        <f>PROGRAMADO!AU22/'Anexo '!$H$20</f>
        <v>0</v>
      </c>
      <c r="AV22" s="28">
        <f>PROGRAMADO!AV22/'Anexo '!$H$20</f>
        <v>0</v>
      </c>
      <c r="AW22" s="28">
        <f>PROGRAMADO!AW22/'Anexo '!$H$20</f>
        <v>0</v>
      </c>
      <c r="AX22" s="28">
        <f>PROGRAMADO!AX22/'Anexo '!$H$20</f>
        <v>0</v>
      </c>
      <c r="AY22" s="28">
        <f>PROGRAMADO!AY22/'Anexo '!$I$20</f>
        <v>0</v>
      </c>
      <c r="AZ22" s="28">
        <f>PROGRAMADO!AZ22/'Anexo '!$I$20</f>
        <v>0</v>
      </c>
      <c r="BA22" s="28">
        <f>PROGRAMADO!BA22/'Anexo '!$I$20</f>
        <v>0</v>
      </c>
      <c r="BB22" s="28">
        <f>PROGRAMADO!BB22/'Anexo '!$I$20</f>
        <v>0</v>
      </c>
      <c r="BC22" s="28">
        <f>PROGRAMADO!BC22/'Anexo '!$I$20</f>
        <v>0</v>
      </c>
      <c r="BD22" s="28">
        <f>PROGRAMADO!BD22/'Anexo '!$I$20</f>
        <v>0</v>
      </c>
      <c r="BE22" s="28">
        <f>PROGRAMADO!BE22/'Anexo '!$I$20</f>
        <v>0</v>
      </c>
      <c r="BF22" s="28">
        <f>PROGRAMADO!BF22/'Anexo '!$J$20</f>
        <v>0</v>
      </c>
      <c r="BG22" s="28">
        <f>PROGRAMADO!BG22/'Anexo '!$J$20</f>
        <v>0</v>
      </c>
      <c r="BH22" s="28">
        <f>PROGRAMADO!BH22/'Anexo '!$J$20</f>
        <v>0</v>
      </c>
      <c r="BI22" s="28">
        <f>PROGRAMADO!BI22/'Anexo '!$J$20</f>
        <v>0</v>
      </c>
      <c r="BJ22" s="28">
        <f>PROGRAMADO!BJ22/'Anexo '!$J$20</f>
        <v>0</v>
      </c>
      <c r="BK22" s="28">
        <f>PROGRAMADO!BK22/'Anexo '!$J$20</f>
        <v>0</v>
      </c>
      <c r="BL22" s="28">
        <f>PROGRAMADO!BL22/'Anexo '!$J$20</f>
        <v>0</v>
      </c>
      <c r="BM22" s="28">
        <f>PROGRAMADO!BM22/'Anexo '!$K$20</f>
        <v>0</v>
      </c>
      <c r="BN22" s="28">
        <f>PROGRAMADO!BN22/'Anexo '!$K$20</f>
        <v>0</v>
      </c>
      <c r="BO22" s="28">
        <f>PROGRAMADO!BO22/'Anexo '!$K$20</f>
        <v>0</v>
      </c>
      <c r="BP22" s="28">
        <f>PROGRAMADO!BP22/'Anexo '!$K$20</f>
        <v>0</v>
      </c>
      <c r="BQ22" s="28">
        <f>PROGRAMADO!BQ22/'Anexo '!$K$20</f>
        <v>0</v>
      </c>
      <c r="BR22" s="28">
        <f>PROGRAMADO!BR22/'Anexo '!$K$20</f>
        <v>0</v>
      </c>
      <c r="BS22" s="28">
        <f>PROGRAMADO!BS22/'Anexo '!$K$20</f>
        <v>0</v>
      </c>
      <c r="BT22" s="28">
        <f>PROGRAMADO!BT22/'Anexo '!$L$20</f>
        <v>0</v>
      </c>
      <c r="BU22" s="28">
        <f>PROGRAMADO!BU22/'Anexo '!$L$20</f>
        <v>0</v>
      </c>
      <c r="BV22" s="28">
        <f>PROGRAMADO!BV22/'Anexo '!$L$20</f>
        <v>0</v>
      </c>
      <c r="BW22" s="28">
        <f>PROGRAMADO!BW22/'Anexo '!$L$20</f>
        <v>0</v>
      </c>
      <c r="BX22" s="28">
        <f>PROGRAMADO!BX22/'Anexo '!$L$20</f>
        <v>0</v>
      </c>
      <c r="BY22" s="28">
        <f>PROGRAMADO!BY22/'Anexo '!$L$20</f>
        <v>0</v>
      </c>
      <c r="BZ22" s="28">
        <f>PROGRAMADO!BZ22/'Anexo '!$L$20</f>
        <v>0</v>
      </c>
      <c r="CA22" s="28">
        <f>PROGRAMADO!CA22/'Anexo '!$L$20</f>
        <v>0</v>
      </c>
      <c r="CB22" s="28">
        <f>PROGRAMADO!CB22/'Anexo '!$M$20</f>
        <v>0</v>
      </c>
      <c r="CC22" s="28">
        <f>PROGRAMADO!CC22/'Anexo '!$M$20</f>
        <v>0</v>
      </c>
      <c r="CD22" s="28">
        <f>PROGRAMADO!CD22/'Anexo '!$M$20</f>
        <v>0</v>
      </c>
      <c r="CE22" s="28">
        <f>PROGRAMADO!CE22/'Anexo '!$M$20</f>
        <v>0</v>
      </c>
      <c r="CF22" s="28">
        <f>PROGRAMADO!CF22/'Anexo '!$M$20</f>
        <v>0</v>
      </c>
      <c r="CG22" s="28">
        <f>PROGRAMADO!CG22/'Anexo '!$M$20</f>
        <v>0</v>
      </c>
      <c r="CH22" s="28">
        <f>PROGRAMADO!CH22/'Anexo '!$M$20</f>
        <v>0</v>
      </c>
      <c r="CI22" s="29">
        <f>PROGRAMADO!CI22/'Anexo '!$M$20</f>
        <v>0</v>
      </c>
    </row>
    <row r="23" spans="1:87" x14ac:dyDescent="0.25">
      <c r="A23" s="23" t="s">
        <v>14</v>
      </c>
      <c r="B23" s="28">
        <f>PROGRAMADO!B23/'Anexo '!$B$20</f>
        <v>0</v>
      </c>
      <c r="C23" s="28">
        <f>PROGRAMADO!C23/'Anexo '!$B$20</f>
        <v>13857737.830316823</v>
      </c>
      <c r="D23" s="28">
        <f>PROGRAMADO!D23/'Anexo '!$B$20</f>
        <v>13857737.830316823</v>
      </c>
      <c r="E23" s="28">
        <f>PROGRAMADO!E23/'Anexo '!$B$20</f>
        <v>0</v>
      </c>
      <c r="F23" s="28">
        <f>PROGRAMADO!F23/'Anexo '!$B$20</f>
        <v>0</v>
      </c>
      <c r="G23" s="28">
        <f>PROGRAMADO!G23/'Anexo '!$B$20</f>
        <v>0</v>
      </c>
      <c r="H23" s="28">
        <f>PROGRAMADO!H23/'Anexo '!$B$20</f>
        <v>13857737.830316823</v>
      </c>
      <c r="I23" s="28">
        <f>PROGRAMADO!I23/'Anexo '!$C$20</f>
        <v>0</v>
      </c>
      <c r="J23" s="28">
        <f>PROGRAMADO!J23/'Anexo '!$C$20</f>
        <v>26433049.62095052</v>
      </c>
      <c r="K23" s="28">
        <f>PROGRAMADO!K23/'Anexo '!$C$20</f>
        <v>26433049.62095052</v>
      </c>
      <c r="L23" s="28">
        <f>PROGRAMADO!L23/'Anexo '!$C$20</f>
        <v>11427428.456548274</v>
      </c>
      <c r="M23" s="28">
        <f>PROGRAMADO!M23/'Anexo '!$C$20</f>
        <v>11301958.087414561</v>
      </c>
      <c r="N23" s="28">
        <f>PROGRAMADO!N23/'Anexo '!$C$20</f>
        <v>22729386.543962836</v>
      </c>
      <c r="O23" s="28">
        <f>PROGRAMADO!O23/'Anexo '!$C$20</f>
        <v>49162436.164913349</v>
      </c>
      <c r="P23" s="28">
        <f>PROGRAMADO!P23/'Anexo '!$D$20</f>
        <v>0</v>
      </c>
      <c r="Q23" s="28">
        <f>PROGRAMADO!Q23/'Anexo '!$D$20</f>
        <v>24771868.995455649</v>
      </c>
      <c r="R23" s="28">
        <f>PROGRAMADO!R23/'Anexo '!$D$20</f>
        <v>24771868.995455649</v>
      </c>
      <c r="S23" s="28">
        <f>PROGRAMADO!S23/'Anexo '!$D$20</f>
        <v>33257917.578127027</v>
      </c>
      <c r="T23" s="28">
        <f>PROGRAMADO!T23/'Anexo '!$D$20</f>
        <v>1950587.4321213898</v>
      </c>
      <c r="U23" s="28">
        <f>PROGRAMADO!U23/'Anexo '!$D$20</f>
        <v>35208505.010248415</v>
      </c>
      <c r="V23" s="28">
        <f>PROGRAMADO!V23/'Anexo '!$D$20</f>
        <v>59980374.00570406</v>
      </c>
      <c r="W23" s="28">
        <f>PROGRAMADO!W23/'Anexo '!$E$13</f>
        <v>0</v>
      </c>
      <c r="X23" s="28">
        <f>PROGRAMADO!X23/'Anexo '!$E$13</f>
        <v>36140870.79448989</v>
      </c>
      <c r="Y23" s="28">
        <f>PROGRAMADO!Y23/'Anexo '!$E$13</f>
        <v>36140870.79448989</v>
      </c>
      <c r="Z23" s="28">
        <f>PROGRAMADO!Z23/'Anexo '!$E$13</f>
        <v>10038139.35507632</v>
      </c>
      <c r="AA23" s="28">
        <f>PROGRAMADO!AA23/'Anexo '!$E$13</f>
        <v>1655813.3935961837</v>
      </c>
      <c r="AB23" s="28">
        <f>PROGRAMADO!AB23/'Anexo '!$E$13</f>
        <v>11693952.748672504</v>
      </c>
      <c r="AC23" s="28">
        <f>PROGRAMADO!AC23/'Anexo '!$E$13</f>
        <v>47834823.543162398</v>
      </c>
      <c r="AD23" s="28">
        <f>PROGRAMADO!AD23/'Anexo '!$F$20</f>
        <v>0</v>
      </c>
      <c r="AE23" s="28">
        <f>PROGRAMADO!AE23/'Anexo '!$F$20</f>
        <v>19223978.000000004</v>
      </c>
      <c r="AF23" s="28">
        <f>PROGRAMADO!AF23/'Anexo '!$F$20</f>
        <v>19223978.000000004</v>
      </c>
      <c r="AG23" s="28">
        <f>PROGRAMADO!AG23/'Anexo '!$F$20</f>
        <v>878500.00000000023</v>
      </c>
      <c r="AH23" s="28">
        <f>PROGRAMADO!AH23/'Anexo '!$F$20</f>
        <v>23500000.000000004</v>
      </c>
      <c r="AI23" s="28">
        <f>PROGRAMADO!AI23/'Anexo '!$F$20</f>
        <v>24378500.000000004</v>
      </c>
      <c r="AJ23" s="28">
        <f>PROGRAMADO!AJ23/'Anexo '!$F$20</f>
        <v>43602478.000000007</v>
      </c>
      <c r="AK23" s="28">
        <f>PROGRAMADO!AK23/'Anexo '!$G$20</f>
        <v>0</v>
      </c>
      <c r="AL23" s="28">
        <f>PROGRAMADO!AL23/'Anexo '!$G$20</f>
        <v>24070543.046167474</v>
      </c>
      <c r="AM23" s="28">
        <f>PROGRAMADO!AM23/'Anexo '!$G$20</f>
        <v>24070543.046167474</v>
      </c>
      <c r="AN23" s="28">
        <f>PROGRAMADO!AN23/'Anexo '!$G$20</f>
        <v>12842331.243724307</v>
      </c>
      <c r="AO23" s="28">
        <f>PROGRAMADO!AO23/'Anexo '!$G$20</f>
        <v>53073463.045117244</v>
      </c>
      <c r="AP23" s="28">
        <f>PROGRAMADO!AP23/'Anexo '!$G$20</f>
        <v>65915794.288841553</v>
      </c>
      <c r="AQ23" s="28">
        <f>PROGRAMADO!AQ23/'Anexo '!$G$20</f>
        <v>89986337.335009024</v>
      </c>
      <c r="AR23" s="28">
        <f>PROGRAMADO!AR23/'Anexo '!$H$20</f>
        <v>0</v>
      </c>
      <c r="AS23" s="28">
        <f>PROGRAMADO!AS23/'Anexo '!$H$20</f>
        <v>35341013.549266569</v>
      </c>
      <c r="AT23" s="28">
        <f>PROGRAMADO!AT23/'Anexo '!$H$20</f>
        <v>35341013.549266569</v>
      </c>
      <c r="AU23" s="28">
        <f>PROGRAMADO!AU23/'Anexo '!$H$20</f>
        <v>970201.15387237025</v>
      </c>
      <c r="AV23" s="28">
        <f>PROGRAMADO!AV23/'Anexo '!$H$20</f>
        <v>49066085.285750203</v>
      </c>
      <c r="AW23" s="28">
        <f>PROGRAMADO!AW23/'Anexo '!$H$20</f>
        <v>50036286.439622574</v>
      </c>
      <c r="AX23" s="28">
        <f>PROGRAMADO!AX23/'Anexo '!$H$20</f>
        <v>85377299.988889143</v>
      </c>
      <c r="AY23" s="28">
        <f>PROGRAMADO!AY23/'Anexo '!$I$20</f>
        <v>0</v>
      </c>
      <c r="AZ23" s="28">
        <f>PROGRAMADO!AZ23/'Anexo '!$I$20</f>
        <v>39065262.681478649</v>
      </c>
      <c r="BA23" s="28">
        <f>PROGRAMADO!BA23/'Anexo '!$I$20</f>
        <v>39065262.681478649</v>
      </c>
      <c r="BB23" s="28">
        <f>PROGRAMADO!BB23/'Anexo '!$I$20</f>
        <v>1331008.8119592068</v>
      </c>
      <c r="BC23" s="28">
        <f>PROGRAMADO!BC23/'Anexo '!$I$20</f>
        <v>24677054.06294439</v>
      </c>
      <c r="BD23" s="28">
        <f>PROGRAMADO!BD23/'Anexo '!$I$20</f>
        <v>26008062.874903597</v>
      </c>
      <c r="BE23" s="28">
        <f>PROGRAMADO!BE23/'Anexo '!$I$20</f>
        <v>65073325.556382246</v>
      </c>
      <c r="BF23" s="28">
        <f>PROGRAMADO!BF23/'Anexo '!$J$20</f>
        <v>0</v>
      </c>
      <c r="BG23" s="28">
        <f>PROGRAMADO!BG23/'Anexo '!$J$20</f>
        <v>32485825.083339192</v>
      </c>
      <c r="BH23" s="28">
        <f>PROGRAMADO!BH23/'Anexo '!$J$20</f>
        <v>32485825.083339192</v>
      </c>
      <c r="BI23" s="28">
        <f>PROGRAMADO!BI23/'Anexo '!$J$20</f>
        <v>0</v>
      </c>
      <c r="BJ23" s="28">
        <f>PROGRAMADO!BJ23/'Anexo '!$J$20</f>
        <v>0</v>
      </c>
      <c r="BK23" s="28">
        <f>PROGRAMADO!BK23/'Anexo '!$J$20</f>
        <v>0</v>
      </c>
      <c r="BL23" s="28">
        <f>PROGRAMADO!BL23/'Anexo '!$J$20</f>
        <v>32485825.083339192</v>
      </c>
      <c r="BM23" s="28">
        <f>PROGRAMADO!BM23/'Anexo '!$K$20</f>
        <v>0</v>
      </c>
      <c r="BN23" s="28">
        <f>PROGRAMADO!BN23/'Anexo '!$K$20</f>
        <v>36832648.451806255</v>
      </c>
      <c r="BO23" s="28">
        <f>PROGRAMADO!BO23/'Anexo '!$K$20</f>
        <v>36832648.451806255</v>
      </c>
      <c r="BP23" s="28">
        <f>PROGRAMADO!BP23/'Anexo '!$K$20</f>
        <v>32039977.656374875</v>
      </c>
      <c r="BQ23" s="28">
        <f>PROGRAMADO!BQ23/'Anexo '!$K$20</f>
        <v>0</v>
      </c>
      <c r="BR23" s="28">
        <f>PROGRAMADO!BR23/'Anexo '!$K$20</f>
        <v>32039977.656374875</v>
      </c>
      <c r="BS23" s="28">
        <f>PROGRAMADO!BS23/'Anexo '!$K$20</f>
        <v>68872626.108181134</v>
      </c>
      <c r="BT23" s="28">
        <f>PROGRAMADO!BT23/'Anexo '!$L$20</f>
        <v>0</v>
      </c>
      <c r="BU23" s="28">
        <f>PROGRAMADO!BU23/'Anexo '!$L$20</f>
        <v>101335113.44150589</v>
      </c>
      <c r="BV23" s="28">
        <f>PROGRAMADO!BV23/'Anexo '!$L$20</f>
        <v>0</v>
      </c>
      <c r="BW23" s="28">
        <f>PROGRAMADO!BW23/'Anexo '!$L$20</f>
        <v>101335113.44150589</v>
      </c>
      <c r="BX23" s="28">
        <f>PROGRAMADO!BX23/'Anexo '!$L$20</f>
        <v>2284214.8655088153</v>
      </c>
      <c r="BY23" s="28">
        <f>PROGRAMADO!BY23/'Anexo '!$L$20</f>
        <v>0</v>
      </c>
      <c r="BZ23" s="28">
        <f>PROGRAMADO!BZ23/'Anexo '!$L$20</f>
        <v>2284214.8655088153</v>
      </c>
      <c r="CA23" s="28">
        <f>PROGRAMADO!CA23/'Anexo '!$L$20</f>
        <v>103619328.30701472</v>
      </c>
      <c r="CB23" s="28">
        <f>PROGRAMADO!CB23/'Anexo '!$M$20</f>
        <v>0</v>
      </c>
      <c r="CC23" s="28">
        <f>PROGRAMADO!CC23/'Anexo '!$M$20</f>
        <v>154838284.30295733</v>
      </c>
      <c r="CD23" s="28">
        <f>PROGRAMADO!CD23/'Anexo '!$M$20</f>
        <v>0</v>
      </c>
      <c r="CE23" s="28">
        <f>PROGRAMADO!CE23/'Anexo '!$M$20</f>
        <v>154838284.30295733</v>
      </c>
      <c r="CF23" s="28">
        <f>PROGRAMADO!CF23/'Anexo '!$M$20</f>
        <v>0</v>
      </c>
      <c r="CG23" s="28">
        <f>PROGRAMADO!CG23/'Anexo '!$M$20</f>
        <v>0</v>
      </c>
      <c r="CH23" s="28">
        <f>PROGRAMADO!CH23/'Anexo '!$M$20</f>
        <v>0</v>
      </c>
      <c r="CI23" s="29">
        <f>PROGRAMADO!CI23/'Anexo '!$M$20</f>
        <v>154838284.30295733</v>
      </c>
    </row>
    <row r="24" spans="1:87" x14ac:dyDescent="0.25">
      <c r="A24" s="23" t="s">
        <v>15</v>
      </c>
      <c r="B24" s="28">
        <f>PROGRAMADO!B24/'Anexo '!$B$20</f>
        <v>0</v>
      </c>
      <c r="C24" s="28">
        <f>PROGRAMADO!C24/'Anexo '!$B$20</f>
        <v>0</v>
      </c>
      <c r="D24" s="28">
        <f>PROGRAMADO!D24/'Anexo '!$B$20</f>
        <v>0</v>
      </c>
      <c r="E24" s="28">
        <f>PROGRAMADO!E24/'Anexo '!$B$20</f>
        <v>0</v>
      </c>
      <c r="F24" s="28">
        <f>PROGRAMADO!F24/'Anexo '!$B$20</f>
        <v>0</v>
      </c>
      <c r="G24" s="28">
        <f>PROGRAMADO!G24/'Anexo '!$B$20</f>
        <v>0</v>
      </c>
      <c r="H24" s="28">
        <f>PROGRAMADO!H24/'Anexo '!$B$20</f>
        <v>0</v>
      </c>
      <c r="I24" s="28">
        <f>PROGRAMADO!I24/'Anexo '!$C$20</f>
        <v>0</v>
      </c>
      <c r="J24" s="28">
        <f>PROGRAMADO!J24/'Anexo '!$C$20</f>
        <v>21667864.431392949</v>
      </c>
      <c r="K24" s="28">
        <f>PROGRAMADO!K24/'Anexo '!$C$20</f>
        <v>21667864.431392949</v>
      </c>
      <c r="L24" s="28">
        <f>PROGRAMADO!L24/'Anexo '!$C$20</f>
        <v>0</v>
      </c>
      <c r="M24" s="28">
        <f>PROGRAMADO!M24/'Anexo '!$C$20</f>
        <v>0</v>
      </c>
      <c r="N24" s="28">
        <f>PROGRAMADO!N24/'Anexo '!$C$20</f>
        <v>0</v>
      </c>
      <c r="O24" s="28">
        <f>PROGRAMADO!O24/'Anexo '!$C$20</f>
        <v>21667864.431392949</v>
      </c>
      <c r="P24" s="28">
        <f>PROGRAMADO!P24/'Anexo '!$D$20</f>
        <v>0</v>
      </c>
      <c r="Q24" s="28">
        <f>PROGRAMADO!Q24/'Anexo '!$D$20</f>
        <v>26278270.873265598</v>
      </c>
      <c r="R24" s="28">
        <f>PROGRAMADO!R24/'Anexo '!$D$20</f>
        <v>26278270.873265598</v>
      </c>
      <c r="S24" s="28">
        <f>PROGRAMADO!S24/'Anexo '!$D$20</f>
        <v>0</v>
      </c>
      <c r="T24" s="28">
        <f>PROGRAMADO!T24/'Anexo '!$D$20</f>
        <v>0</v>
      </c>
      <c r="U24" s="28">
        <f>PROGRAMADO!U24/'Anexo '!$D$20</f>
        <v>0</v>
      </c>
      <c r="V24" s="28">
        <f>PROGRAMADO!V24/'Anexo '!$D$20</f>
        <v>26278270.873265598</v>
      </c>
      <c r="W24" s="28">
        <f>PROGRAMADO!W24/'Anexo '!$E$13</f>
        <v>0</v>
      </c>
      <c r="X24" s="28">
        <f>PROGRAMADO!X24/'Anexo '!$E$13</f>
        <v>23227139.118829373</v>
      </c>
      <c r="Y24" s="28">
        <f>PROGRAMADO!Y24/'Anexo '!$E$13</f>
        <v>23227139.118829373</v>
      </c>
      <c r="Z24" s="28">
        <f>PROGRAMADO!Z24/'Anexo '!$E$13</f>
        <v>0</v>
      </c>
      <c r="AA24" s="28">
        <f>PROGRAMADO!AA24/'Anexo '!$E$13</f>
        <v>0</v>
      </c>
      <c r="AB24" s="28">
        <f>PROGRAMADO!AB24/'Anexo '!$E$13</f>
        <v>0</v>
      </c>
      <c r="AC24" s="28">
        <f>PROGRAMADO!AC24/'Anexo '!$E$13</f>
        <v>23227139.118829373</v>
      </c>
      <c r="AD24" s="28">
        <f>PROGRAMADO!AD24/'Anexo '!$F$20</f>
        <v>0</v>
      </c>
      <c r="AE24" s="28">
        <f>PROGRAMADO!AE24/'Anexo '!$F$20</f>
        <v>23000000.000000004</v>
      </c>
      <c r="AF24" s="28">
        <f>PROGRAMADO!AF24/'Anexo '!$F$20</f>
        <v>23000000.000000004</v>
      </c>
      <c r="AG24" s="28">
        <f>PROGRAMADO!AG24/'Anexo '!$F$20</f>
        <v>0</v>
      </c>
      <c r="AH24" s="28">
        <f>PROGRAMADO!AH24/'Anexo '!$F$20</f>
        <v>0</v>
      </c>
      <c r="AI24" s="28">
        <f>PROGRAMADO!AI24/'Anexo '!$F$20</f>
        <v>0</v>
      </c>
      <c r="AJ24" s="28">
        <f>PROGRAMADO!AJ24/'Anexo '!$F$20</f>
        <v>23000000.000000004</v>
      </c>
      <c r="AK24" s="28">
        <f>PROGRAMADO!AK24/'Anexo '!$G$20</f>
        <v>0</v>
      </c>
      <c r="AL24" s="28">
        <f>PROGRAMADO!AL24/'Anexo '!$G$20</f>
        <v>21850104.115773216</v>
      </c>
      <c r="AM24" s="28">
        <f>PROGRAMADO!AM24/'Anexo '!$G$20</f>
        <v>21850104.115773216</v>
      </c>
      <c r="AN24" s="28">
        <f>PROGRAMADO!AN24/'Anexo '!$G$20</f>
        <v>0</v>
      </c>
      <c r="AO24" s="28">
        <f>PROGRAMADO!AO24/'Anexo '!$G$20</f>
        <v>0</v>
      </c>
      <c r="AP24" s="28">
        <f>PROGRAMADO!AP24/'Anexo '!$G$20</f>
        <v>0</v>
      </c>
      <c r="AQ24" s="28">
        <f>PROGRAMADO!AQ24/'Anexo '!$G$20</f>
        <v>21850104.115773216</v>
      </c>
      <c r="AR24" s="28">
        <f>PROGRAMADO!AR24/'Anexo '!$H$20</f>
        <v>0</v>
      </c>
      <c r="AS24" s="28">
        <f>PROGRAMADO!AS24/'Anexo '!$H$20</f>
        <v>21064029.911527384</v>
      </c>
      <c r="AT24" s="28">
        <f>PROGRAMADO!AT24/'Anexo '!$H$20</f>
        <v>21064029.911527384</v>
      </c>
      <c r="AU24" s="28">
        <f>PROGRAMADO!AU24/'Anexo '!$H$20</f>
        <v>0</v>
      </c>
      <c r="AV24" s="28">
        <f>PROGRAMADO!AV24/'Anexo '!$H$20</f>
        <v>9067300.5034800954</v>
      </c>
      <c r="AW24" s="28">
        <f>PROGRAMADO!AW24/'Anexo '!$H$20</f>
        <v>9067300.5034800954</v>
      </c>
      <c r="AX24" s="28">
        <f>PROGRAMADO!AX24/'Anexo '!$H$20</f>
        <v>30131330.415007479</v>
      </c>
      <c r="AY24" s="28">
        <f>PROGRAMADO!AY24/'Anexo '!$I$20</f>
        <v>0</v>
      </c>
      <c r="AZ24" s="28">
        <f>PROGRAMADO!AZ24/'Anexo '!$I$20</f>
        <v>30357122.439570203</v>
      </c>
      <c r="BA24" s="28">
        <f>PROGRAMADO!BA24/'Anexo '!$I$20</f>
        <v>30357122.439570203</v>
      </c>
      <c r="BB24" s="28">
        <f>PROGRAMADO!BB24/'Anexo '!$I$20</f>
        <v>0</v>
      </c>
      <c r="BC24" s="28">
        <f>PROGRAMADO!BC24/'Anexo '!$I$20</f>
        <v>33443727.559058286</v>
      </c>
      <c r="BD24" s="28">
        <f>PROGRAMADO!BD24/'Anexo '!$I$20</f>
        <v>33443727.559058286</v>
      </c>
      <c r="BE24" s="28">
        <f>PROGRAMADO!BE24/'Anexo '!$I$20</f>
        <v>63800849.99862849</v>
      </c>
      <c r="BF24" s="28">
        <f>PROGRAMADO!BF24/'Anexo '!$J$20</f>
        <v>0</v>
      </c>
      <c r="BG24" s="28">
        <f>PROGRAMADO!BG24/'Anexo '!$J$20</f>
        <v>27461996.609511647</v>
      </c>
      <c r="BH24" s="28">
        <f>PROGRAMADO!BH24/'Anexo '!$J$20</f>
        <v>27461996.609511647</v>
      </c>
      <c r="BI24" s="28">
        <f>PROGRAMADO!BI24/'Anexo '!$J$20</f>
        <v>0</v>
      </c>
      <c r="BJ24" s="28">
        <f>PROGRAMADO!BJ24/'Anexo '!$J$20</f>
        <v>41076617.998490557</v>
      </c>
      <c r="BK24" s="28">
        <f>PROGRAMADO!BK24/'Anexo '!$J$20</f>
        <v>41076617.998490557</v>
      </c>
      <c r="BL24" s="28">
        <f>PROGRAMADO!BL24/'Anexo '!$J$20</f>
        <v>68538614.608002201</v>
      </c>
      <c r="BM24" s="28">
        <f>PROGRAMADO!BM24/'Anexo '!$K$20</f>
        <v>0</v>
      </c>
      <c r="BN24" s="28">
        <f>PROGRAMADO!BN24/'Anexo '!$K$20</f>
        <v>27169288.225640967</v>
      </c>
      <c r="BO24" s="28">
        <f>PROGRAMADO!BO24/'Anexo '!$K$20</f>
        <v>27169288.225640967</v>
      </c>
      <c r="BP24" s="28">
        <f>PROGRAMADO!BP24/'Anexo '!$K$20</f>
        <v>0</v>
      </c>
      <c r="BQ24" s="28">
        <f>PROGRAMADO!BQ24/'Anexo '!$K$20</f>
        <v>18191673.440171868</v>
      </c>
      <c r="BR24" s="28">
        <f>PROGRAMADO!BR24/'Anexo '!$K$20</f>
        <v>18191673.440171868</v>
      </c>
      <c r="BS24" s="28">
        <f>PROGRAMADO!BS24/'Anexo '!$K$20</f>
        <v>45360961.665812835</v>
      </c>
      <c r="BT24" s="28">
        <f>PROGRAMADO!BT24/'Anexo '!$L$20</f>
        <v>0</v>
      </c>
      <c r="BU24" s="28">
        <f>PROGRAMADO!BU24/'Anexo '!$L$20</f>
        <v>25751103.689755939</v>
      </c>
      <c r="BV24" s="28">
        <f>PROGRAMADO!BV24/'Anexo '!$L$20</f>
        <v>0</v>
      </c>
      <c r="BW24" s="28">
        <f>PROGRAMADO!BW24/'Anexo '!$L$20</f>
        <v>25751103.689755939</v>
      </c>
      <c r="BX24" s="28">
        <f>PROGRAMADO!BX24/'Anexo '!$L$20</f>
        <v>0</v>
      </c>
      <c r="BY24" s="28">
        <f>PROGRAMADO!BY24/'Anexo '!$L$20</f>
        <v>45299870.11937923</v>
      </c>
      <c r="BZ24" s="28">
        <f>PROGRAMADO!BZ24/'Anexo '!$L$20</f>
        <v>45299870.11937923</v>
      </c>
      <c r="CA24" s="28">
        <f>PROGRAMADO!CA24/'Anexo '!$L$20</f>
        <v>71050973.809135169</v>
      </c>
      <c r="CB24" s="28">
        <f>PROGRAMADO!CB24/'Anexo '!$M$20</f>
        <v>0</v>
      </c>
      <c r="CC24" s="28">
        <f>PROGRAMADO!CC24/'Anexo '!$M$20</f>
        <v>27149257.185525272</v>
      </c>
      <c r="CD24" s="28">
        <f>PROGRAMADO!CD24/'Anexo '!$M$20</f>
        <v>0</v>
      </c>
      <c r="CE24" s="28">
        <f>PROGRAMADO!CE24/'Anexo '!$M$20</f>
        <v>27149257.185525272</v>
      </c>
      <c r="CF24" s="28">
        <f>PROGRAMADO!CF24/'Anexo '!$M$20</f>
        <v>42420714.352383241</v>
      </c>
      <c r="CG24" s="28">
        <f>PROGRAMADO!CG24/'Anexo '!$M$20</f>
        <v>40723885.77828791</v>
      </c>
      <c r="CH24" s="28">
        <f>PROGRAMADO!CH24/'Anexo '!$M$20</f>
        <v>83144600.130671144</v>
      </c>
      <c r="CI24" s="29">
        <f>PROGRAMADO!CI24/'Anexo '!$M$20</f>
        <v>110293857.31619643</v>
      </c>
    </row>
    <row r="25" spans="1:87" x14ac:dyDescent="0.25">
      <c r="A25" s="23" t="s">
        <v>16</v>
      </c>
      <c r="B25" s="28">
        <f>PROGRAMADO!B25/'Anexo '!$B$20</f>
        <v>0</v>
      </c>
      <c r="C25" s="28">
        <f>PROGRAMADO!C25/'Anexo '!$B$20</f>
        <v>23257364.823429897</v>
      </c>
      <c r="D25" s="28">
        <f>PROGRAMADO!D25/'Anexo '!$B$20</f>
        <v>23257364.823429897</v>
      </c>
      <c r="E25" s="28">
        <f>PROGRAMADO!E25/'Anexo '!$B$20</f>
        <v>1547447.3876132732</v>
      </c>
      <c r="F25" s="28">
        <f>PROGRAMADO!F25/'Anexo '!$B$20</f>
        <v>0</v>
      </c>
      <c r="G25" s="28">
        <f>PROGRAMADO!G25/'Anexo '!$B$20</f>
        <v>1547447.3876132732</v>
      </c>
      <c r="H25" s="28">
        <f>PROGRAMADO!H25/'Anexo '!$B$20</f>
        <v>24804812.211043168</v>
      </c>
      <c r="I25" s="28">
        <f>PROGRAMADO!I25/'Anexo '!$C$20</f>
        <v>0</v>
      </c>
      <c r="J25" s="28">
        <f>PROGRAMADO!J25/'Anexo '!$C$20</f>
        <v>21667864.431392949</v>
      </c>
      <c r="K25" s="28">
        <f>PROGRAMADO!K25/'Anexo '!$C$20</f>
        <v>21667864.431392949</v>
      </c>
      <c r="L25" s="28">
        <f>PROGRAMADO!L25/'Anexo '!$C$20</f>
        <v>0</v>
      </c>
      <c r="M25" s="28">
        <f>PROGRAMADO!M25/'Anexo '!$C$20</f>
        <v>0</v>
      </c>
      <c r="N25" s="28">
        <f>PROGRAMADO!N25/'Anexo '!$C$20</f>
        <v>0</v>
      </c>
      <c r="O25" s="28">
        <f>PROGRAMADO!O25/'Anexo '!$C$20</f>
        <v>21667864.431392949</v>
      </c>
      <c r="P25" s="28">
        <f>PROGRAMADO!P25/'Anexo '!$D$20</f>
        <v>0</v>
      </c>
      <c r="Q25" s="28">
        <f>PROGRAMADO!Q25/'Anexo '!$D$20</f>
        <v>20471550.847091749</v>
      </c>
      <c r="R25" s="28">
        <f>PROGRAMADO!R25/'Anexo '!$D$20</f>
        <v>20471550.847091749</v>
      </c>
      <c r="S25" s="28">
        <f>PROGRAMADO!S25/'Anexo '!$D$20</f>
        <v>0</v>
      </c>
      <c r="T25" s="28">
        <f>PROGRAMADO!T25/'Anexo '!$D$20</f>
        <v>0</v>
      </c>
      <c r="U25" s="28">
        <f>PROGRAMADO!U25/'Anexo '!$D$20</f>
        <v>0</v>
      </c>
      <c r="V25" s="28">
        <f>PROGRAMADO!V25/'Anexo '!$D$20</f>
        <v>20471550.847091749</v>
      </c>
      <c r="W25" s="28">
        <f>PROGRAMADO!W25/'Anexo '!$E$13</f>
        <v>0</v>
      </c>
      <c r="X25" s="28">
        <f>PROGRAMADO!X25/'Anexo '!$E$13</f>
        <v>25653022.796306152</v>
      </c>
      <c r="Y25" s="28">
        <f>PROGRAMADO!Y25/'Anexo '!$E$13</f>
        <v>25653022.796306152</v>
      </c>
      <c r="Z25" s="28">
        <f>PROGRAMADO!Z25/'Anexo '!$E$13</f>
        <v>0</v>
      </c>
      <c r="AA25" s="28">
        <f>PROGRAMADO!AA25/'Anexo '!$E$13</f>
        <v>0</v>
      </c>
      <c r="AB25" s="28">
        <f>PROGRAMADO!AB25/'Anexo '!$E$13</f>
        <v>0</v>
      </c>
      <c r="AC25" s="28">
        <f>PROGRAMADO!AC25/'Anexo '!$E$13</f>
        <v>25653022.796306152</v>
      </c>
      <c r="AD25" s="28">
        <f>PROGRAMADO!AD25/'Anexo '!$F$20</f>
        <v>0</v>
      </c>
      <c r="AE25" s="28">
        <f>PROGRAMADO!AE25/'Anexo '!$F$20</f>
        <v>23000000.000000004</v>
      </c>
      <c r="AF25" s="28">
        <f>PROGRAMADO!AF25/'Anexo '!$F$20</f>
        <v>23000000.000000004</v>
      </c>
      <c r="AG25" s="28">
        <f>PROGRAMADO!AG25/'Anexo '!$F$20</f>
        <v>0</v>
      </c>
      <c r="AH25" s="28">
        <f>PROGRAMADO!AH25/'Anexo '!$F$20</f>
        <v>0</v>
      </c>
      <c r="AI25" s="28">
        <f>PROGRAMADO!AI25/'Anexo '!$F$20</f>
        <v>0</v>
      </c>
      <c r="AJ25" s="28">
        <f>PROGRAMADO!AJ25/'Anexo '!$F$20</f>
        <v>23000000.000000004</v>
      </c>
      <c r="AK25" s="28">
        <f>PROGRAMADO!AK25/'Anexo '!$G$20</f>
        <v>0</v>
      </c>
      <c r="AL25" s="28">
        <f>PROGRAMADO!AL25/'Anexo '!$G$20</f>
        <v>21850104.115773216</v>
      </c>
      <c r="AM25" s="28">
        <f>PROGRAMADO!AM25/'Anexo '!$G$20</f>
        <v>21850104.115773216</v>
      </c>
      <c r="AN25" s="28">
        <f>PROGRAMADO!AN25/'Anexo '!$G$20</f>
        <v>0</v>
      </c>
      <c r="AO25" s="28">
        <f>PROGRAMADO!AO25/'Anexo '!$G$20</f>
        <v>0</v>
      </c>
      <c r="AP25" s="28">
        <f>PROGRAMADO!AP25/'Anexo '!$G$20</f>
        <v>0</v>
      </c>
      <c r="AQ25" s="28">
        <f>PROGRAMADO!AQ25/'Anexo '!$G$20</f>
        <v>21850104.115773216</v>
      </c>
      <c r="AR25" s="28">
        <f>PROGRAMADO!AR25/'Anexo '!$H$20</f>
        <v>0</v>
      </c>
      <c r="AS25" s="28">
        <f>PROGRAMADO!AS25/'Anexo '!$H$20</f>
        <v>20084675.101908643</v>
      </c>
      <c r="AT25" s="28">
        <f>PROGRAMADO!AT25/'Anexo '!$H$20</f>
        <v>20084675.101908643</v>
      </c>
      <c r="AU25" s="28">
        <f>PROGRAMADO!AU25/'Anexo '!$H$20</f>
        <v>0</v>
      </c>
      <c r="AV25" s="28">
        <f>PROGRAMADO!AV25/'Anexo '!$H$20</f>
        <v>0</v>
      </c>
      <c r="AW25" s="28">
        <f>PROGRAMADO!AW25/'Anexo '!$H$20</f>
        <v>0</v>
      </c>
      <c r="AX25" s="28">
        <f>PROGRAMADO!AX25/'Anexo '!$H$20</f>
        <v>20084675.101908643</v>
      </c>
      <c r="AY25" s="28">
        <f>PROGRAMADO!AY25/'Anexo '!$I$20</f>
        <v>0</v>
      </c>
      <c r="AZ25" s="28">
        <f>PROGRAMADO!AZ25/'Anexo '!$I$20</f>
        <v>27549592.944010913</v>
      </c>
      <c r="BA25" s="28">
        <f>PROGRAMADO!BA25/'Anexo '!$I$20</f>
        <v>27549592.944010913</v>
      </c>
      <c r="BB25" s="28">
        <f>PROGRAMADO!BB25/'Anexo '!$I$20</f>
        <v>0</v>
      </c>
      <c r="BC25" s="28">
        <f>PROGRAMADO!BC25/'Anexo '!$I$20</f>
        <v>0</v>
      </c>
      <c r="BD25" s="28">
        <f>PROGRAMADO!BD25/'Anexo '!$I$20</f>
        <v>0</v>
      </c>
      <c r="BE25" s="28">
        <f>PROGRAMADO!BE25/'Anexo '!$I$20</f>
        <v>27549592.944010913</v>
      </c>
      <c r="BF25" s="28">
        <f>PROGRAMADO!BF25/'Anexo '!$J$20</f>
        <v>0</v>
      </c>
      <c r="BG25" s="28">
        <f>PROGRAMADO!BG25/'Anexo '!$J$20</f>
        <v>27461989.911463283</v>
      </c>
      <c r="BH25" s="28">
        <f>PROGRAMADO!BH25/'Anexo '!$J$20</f>
        <v>27461989.911463283</v>
      </c>
      <c r="BI25" s="28">
        <f>PROGRAMADO!BI25/'Anexo '!$J$20</f>
        <v>0</v>
      </c>
      <c r="BJ25" s="28">
        <f>PROGRAMADO!BJ25/'Anexo '!$J$20</f>
        <v>0</v>
      </c>
      <c r="BK25" s="28">
        <f>PROGRAMADO!BK25/'Anexo '!$J$20</f>
        <v>0</v>
      </c>
      <c r="BL25" s="28">
        <f>PROGRAMADO!BL25/'Anexo '!$J$20</f>
        <v>27461989.911463283</v>
      </c>
      <c r="BM25" s="28">
        <f>PROGRAMADO!BM25/'Anexo '!$K$20</f>
        <v>0</v>
      </c>
      <c r="BN25" s="28">
        <f>PROGRAMADO!BN25/'Anexo '!$K$20</f>
        <v>27169285.858977612</v>
      </c>
      <c r="BO25" s="28">
        <f>PROGRAMADO!BO25/'Anexo '!$K$20</f>
        <v>27169285.858977612</v>
      </c>
      <c r="BP25" s="28">
        <f>PROGRAMADO!BP25/'Anexo '!$K$20</f>
        <v>0</v>
      </c>
      <c r="BQ25" s="28">
        <f>PROGRAMADO!BQ25/'Anexo '!$K$20</f>
        <v>0</v>
      </c>
      <c r="BR25" s="28">
        <f>PROGRAMADO!BR25/'Anexo '!$K$20</f>
        <v>0</v>
      </c>
      <c r="BS25" s="28">
        <f>PROGRAMADO!BS25/'Anexo '!$K$20</f>
        <v>27169285.858977612</v>
      </c>
      <c r="BT25" s="28">
        <f>PROGRAMADO!BT25/'Anexo '!$L$20</f>
        <v>0</v>
      </c>
      <c r="BU25" s="28">
        <f>PROGRAMADO!BU25/'Anexo '!$L$20</f>
        <v>25751103.689755939</v>
      </c>
      <c r="BV25" s="28">
        <f>PROGRAMADO!BV25/'Anexo '!$L$20</f>
        <v>0</v>
      </c>
      <c r="BW25" s="28">
        <f>PROGRAMADO!BW25/'Anexo '!$L$20</f>
        <v>25751103.689755939</v>
      </c>
      <c r="BX25" s="28">
        <f>PROGRAMADO!BX25/'Anexo '!$L$20</f>
        <v>0</v>
      </c>
      <c r="BY25" s="28">
        <f>PROGRAMADO!BY25/'Anexo '!$L$20</f>
        <v>0</v>
      </c>
      <c r="BZ25" s="28">
        <f>PROGRAMADO!BZ25/'Anexo '!$L$20</f>
        <v>0</v>
      </c>
      <c r="CA25" s="28">
        <f>PROGRAMADO!CA25/'Anexo '!$L$20</f>
        <v>25751103.689755939</v>
      </c>
      <c r="CB25" s="28">
        <f>PROGRAMADO!CB25/'Anexo '!$M$20</f>
        <v>0</v>
      </c>
      <c r="CC25" s="28">
        <f>PROGRAMADO!CC25/'Anexo '!$M$20</f>
        <v>27847736.306108728</v>
      </c>
      <c r="CD25" s="28">
        <f>PROGRAMADO!CD25/'Anexo '!$M$20</f>
        <v>0</v>
      </c>
      <c r="CE25" s="28">
        <f>PROGRAMADO!CE25/'Anexo '!$M$20</f>
        <v>27847736.306108728</v>
      </c>
      <c r="CF25" s="28">
        <f>PROGRAMADO!CF25/'Anexo '!$M$20</f>
        <v>0</v>
      </c>
      <c r="CG25" s="28">
        <f>PROGRAMADO!CG25/'Anexo '!$M$20</f>
        <v>0</v>
      </c>
      <c r="CH25" s="28">
        <f>PROGRAMADO!CH25/'Anexo '!$M$20</f>
        <v>0</v>
      </c>
      <c r="CI25" s="29">
        <f>PROGRAMADO!CI25/'Anexo '!$M$20</f>
        <v>27847736.306108728</v>
      </c>
    </row>
    <row r="26" spans="1:87" x14ac:dyDescent="0.25">
      <c r="A26" s="23" t="s">
        <v>17</v>
      </c>
      <c r="B26" s="28">
        <f>PROGRAMADO!B26/'Anexo '!$B$20</f>
        <v>0</v>
      </c>
      <c r="C26" s="28">
        <f>PROGRAMADO!C26/'Anexo '!$B$20</f>
        <v>0</v>
      </c>
      <c r="D26" s="28">
        <f>PROGRAMADO!D26/'Anexo '!$B$20</f>
        <v>0</v>
      </c>
      <c r="E26" s="28">
        <f>PROGRAMADO!E26/'Anexo '!$B$20</f>
        <v>0</v>
      </c>
      <c r="F26" s="28">
        <f>PROGRAMADO!F26/'Anexo '!$B$20</f>
        <v>0</v>
      </c>
      <c r="G26" s="28">
        <f>PROGRAMADO!G26/'Anexo '!$B$20</f>
        <v>0</v>
      </c>
      <c r="H26" s="28">
        <f>PROGRAMADO!H26/'Anexo '!$B$20</f>
        <v>0</v>
      </c>
      <c r="I26" s="28">
        <f>PROGRAMADO!I26/'Anexo '!$C$20</f>
        <v>0</v>
      </c>
      <c r="J26" s="28">
        <f>PROGRAMADO!J26/'Anexo '!$C$20</f>
        <v>0</v>
      </c>
      <c r="K26" s="28">
        <f>PROGRAMADO!K26/'Anexo '!$C$20</f>
        <v>0</v>
      </c>
      <c r="L26" s="28">
        <f>PROGRAMADO!L26/'Anexo '!$C$20</f>
        <v>0</v>
      </c>
      <c r="M26" s="28">
        <f>PROGRAMADO!M26/'Anexo '!$C$20</f>
        <v>0</v>
      </c>
      <c r="N26" s="28">
        <f>PROGRAMADO!N26/'Anexo '!$C$20</f>
        <v>0</v>
      </c>
      <c r="O26" s="28">
        <f>PROGRAMADO!O26/'Anexo '!$C$20</f>
        <v>0</v>
      </c>
      <c r="P26" s="28">
        <f>PROGRAMADO!P26/'Anexo '!$D$20</f>
        <v>0</v>
      </c>
      <c r="Q26" s="28">
        <f>PROGRAMADO!Q26/'Anexo '!$D$20</f>
        <v>54921586.125125103</v>
      </c>
      <c r="R26" s="28">
        <f>PROGRAMADO!R26/'Anexo '!$D$20</f>
        <v>54921586.125125103</v>
      </c>
      <c r="S26" s="28">
        <f>PROGRAMADO!S26/'Anexo '!$D$20</f>
        <v>0</v>
      </c>
      <c r="T26" s="28">
        <f>PROGRAMADO!T26/'Anexo '!$D$20</f>
        <v>0</v>
      </c>
      <c r="U26" s="28">
        <f>PROGRAMADO!U26/'Anexo '!$D$20</f>
        <v>0</v>
      </c>
      <c r="V26" s="28">
        <f>PROGRAMADO!V26/'Anexo '!$D$20</f>
        <v>54921586.125125103</v>
      </c>
      <c r="W26" s="28">
        <f>PROGRAMADO!W26/'Anexo '!$E$13</f>
        <v>0</v>
      </c>
      <c r="X26" s="28">
        <f>PROGRAMADO!X26/'Anexo '!$E$13</f>
        <v>11153488.172307022</v>
      </c>
      <c r="Y26" s="28">
        <f>PROGRAMADO!Y26/'Anexo '!$E$13</f>
        <v>11153488.172307022</v>
      </c>
      <c r="Z26" s="28">
        <f>PROGRAMADO!Z26/'Anexo '!$E$13</f>
        <v>0</v>
      </c>
      <c r="AA26" s="28">
        <f>PROGRAMADO!AA26/'Anexo '!$E$13</f>
        <v>0</v>
      </c>
      <c r="AB26" s="28">
        <f>PROGRAMADO!AB26/'Anexo '!$E$13</f>
        <v>0</v>
      </c>
      <c r="AC26" s="28">
        <f>PROGRAMADO!AC26/'Anexo '!$E$13</f>
        <v>11153488.172307022</v>
      </c>
      <c r="AD26" s="28">
        <f>PROGRAMADO!AD26/'Anexo '!$F$20</f>
        <v>0</v>
      </c>
      <c r="AE26" s="28">
        <f>PROGRAMADO!AE26/'Anexo '!$F$20</f>
        <v>10000000.000000002</v>
      </c>
      <c r="AF26" s="28">
        <f>PROGRAMADO!AF26/'Anexo '!$F$20</f>
        <v>10000000.000000002</v>
      </c>
      <c r="AG26" s="28">
        <f>PROGRAMADO!AG26/'Anexo '!$F$20</f>
        <v>0</v>
      </c>
      <c r="AH26" s="28">
        <f>PROGRAMADO!AH26/'Anexo '!$F$20</f>
        <v>0</v>
      </c>
      <c r="AI26" s="28">
        <f>PROGRAMADO!AI26/'Anexo '!$F$20</f>
        <v>0</v>
      </c>
      <c r="AJ26" s="28">
        <f>PROGRAMADO!AJ26/'Anexo '!$F$20</f>
        <v>10000000.000000002</v>
      </c>
      <c r="AK26" s="28">
        <f>PROGRAMADO!AK26/'Anexo '!$G$20</f>
        <v>0</v>
      </c>
      <c r="AL26" s="28">
        <f>PROGRAMADO!AL26/'Anexo '!$G$20</f>
        <v>0</v>
      </c>
      <c r="AM26" s="28">
        <f>PROGRAMADO!AM26/'Anexo '!$G$20</f>
        <v>0</v>
      </c>
      <c r="AN26" s="28">
        <f>PROGRAMADO!AN26/'Anexo '!$G$20</f>
        <v>0</v>
      </c>
      <c r="AO26" s="28">
        <f>PROGRAMADO!AO26/'Anexo '!$G$20</f>
        <v>0</v>
      </c>
      <c r="AP26" s="28">
        <f>PROGRAMADO!AP26/'Anexo '!$G$20</f>
        <v>0</v>
      </c>
      <c r="AQ26" s="28">
        <f>PROGRAMADO!AQ26/'Anexo '!$G$20</f>
        <v>0</v>
      </c>
      <c r="AR26" s="28">
        <f>PROGRAMADO!AR26/'Anexo '!$H$20</f>
        <v>0</v>
      </c>
      <c r="AS26" s="28">
        <f>PROGRAMADO!AS26/'Anexo '!$H$20</f>
        <v>0</v>
      </c>
      <c r="AT26" s="28">
        <f>PROGRAMADO!AT26/'Anexo '!$H$20</f>
        <v>0</v>
      </c>
      <c r="AU26" s="28">
        <f>PROGRAMADO!AU26/'Anexo '!$H$20</f>
        <v>0</v>
      </c>
      <c r="AV26" s="28">
        <f>PROGRAMADO!AV26/'Anexo '!$H$20</f>
        <v>0</v>
      </c>
      <c r="AW26" s="28">
        <f>PROGRAMADO!AW26/'Anexo '!$H$20</f>
        <v>0</v>
      </c>
      <c r="AX26" s="28">
        <f>PROGRAMADO!AX26/'Anexo '!$H$20</f>
        <v>0</v>
      </c>
      <c r="AY26" s="28">
        <f>PROGRAMADO!AY26/'Anexo '!$I$20</f>
        <v>0</v>
      </c>
      <c r="AZ26" s="28">
        <f>PROGRAMADO!AZ26/'Anexo '!$I$20</f>
        <v>0</v>
      </c>
      <c r="BA26" s="28">
        <f>PROGRAMADO!BA26/'Anexo '!$I$20</f>
        <v>0</v>
      </c>
      <c r="BB26" s="28">
        <f>PROGRAMADO!BB26/'Anexo '!$I$20</f>
        <v>0</v>
      </c>
      <c r="BC26" s="28">
        <f>PROGRAMADO!BC26/'Anexo '!$I$20</f>
        <v>0</v>
      </c>
      <c r="BD26" s="28">
        <f>PROGRAMADO!BD26/'Anexo '!$I$20</f>
        <v>0</v>
      </c>
      <c r="BE26" s="28">
        <f>PROGRAMADO!BE26/'Anexo '!$I$20</f>
        <v>0</v>
      </c>
      <c r="BF26" s="28">
        <f>PROGRAMADO!BF26/'Anexo '!$J$20</f>
        <v>0</v>
      </c>
      <c r="BG26" s="28">
        <f>PROGRAMADO!BG26/'Anexo '!$J$20</f>
        <v>0</v>
      </c>
      <c r="BH26" s="28">
        <f>PROGRAMADO!BH26/'Anexo '!$J$20</f>
        <v>0</v>
      </c>
      <c r="BI26" s="28">
        <f>PROGRAMADO!BI26/'Anexo '!$J$20</f>
        <v>0</v>
      </c>
      <c r="BJ26" s="28">
        <f>PROGRAMADO!BJ26/'Anexo '!$J$20</f>
        <v>0</v>
      </c>
      <c r="BK26" s="28">
        <f>PROGRAMADO!BK26/'Anexo '!$J$20</f>
        <v>0</v>
      </c>
      <c r="BL26" s="28">
        <f>PROGRAMADO!BL26/'Anexo '!$J$20</f>
        <v>0</v>
      </c>
      <c r="BM26" s="28">
        <f>PROGRAMADO!BM26/'Anexo '!$K$20</f>
        <v>0</v>
      </c>
      <c r="BN26" s="28">
        <f>PROGRAMADO!BN26/'Anexo '!$K$20</f>
        <v>0</v>
      </c>
      <c r="BO26" s="28">
        <f>PROGRAMADO!BO26/'Anexo '!$K$20</f>
        <v>0</v>
      </c>
      <c r="BP26" s="28">
        <f>PROGRAMADO!BP26/'Anexo '!$K$20</f>
        <v>0</v>
      </c>
      <c r="BQ26" s="28">
        <f>PROGRAMADO!BQ26/'Anexo '!$K$20</f>
        <v>0</v>
      </c>
      <c r="BR26" s="28">
        <f>PROGRAMADO!BR26/'Anexo '!$K$20</f>
        <v>0</v>
      </c>
      <c r="BS26" s="28">
        <f>PROGRAMADO!BS26/'Anexo '!$K$20</f>
        <v>0</v>
      </c>
      <c r="BT26" s="28">
        <f>PROGRAMADO!BT26/'Anexo '!$L$20</f>
        <v>0</v>
      </c>
      <c r="BU26" s="28">
        <f>PROGRAMADO!BU26/'Anexo '!$L$20</f>
        <v>0</v>
      </c>
      <c r="BV26" s="28">
        <f>PROGRAMADO!BV26/'Anexo '!$L$20</f>
        <v>0</v>
      </c>
      <c r="BW26" s="28">
        <f>PROGRAMADO!BW26/'Anexo '!$L$20</f>
        <v>0</v>
      </c>
      <c r="BX26" s="28">
        <f>PROGRAMADO!BX26/'Anexo '!$L$20</f>
        <v>0</v>
      </c>
      <c r="BY26" s="28">
        <f>PROGRAMADO!BY26/'Anexo '!$L$20</f>
        <v>0</v>
      </c>
      <c r="BZ26" s="28">
        <f>PROGRAMADO!BZ26/'Anexo '!$L$20</f>
        <v>0</v>
      </c>
      <c r="CA26" s="28">
        <f>PROGRAMADO!CA26/'Anexo '!$L$20</f>
        <v>0</v>
      </c>
      <c r="CB26" s="28">
        <f>PROGRAMADO!CB26/'Anexo '!$M$20</f>
        <v>0</v>
      </c>
      <c r="CC26" s="28">
        <f>PROGRAMADO!CC26/'Anexo '!$M$20</f>
        <v>0</v>
      </c>
      <c r="CD26" s="28">
        <f>PROGRAMADO!CD26/'Anexo '!$M$20</f>
        <v>0</v>
      </c>
      <c r="CE26" s="28">
        <f>PROGRAMADO!CE26/'Anexo '!$M$20</f>
        <v>0</v>
      </c>
      <c r="CF26" s="28">
        <f>PROGRAMADO!CF26/'Anexo '!$M$20</f>
        <v>1577346.0506846921</v>
      </c>
      <c r="CG26" s="28">
        <f>PROGRAMADO!CG26/'Anexo '!$M$20</f>
        <v>0</v>
      </c>
      <c r="CH26" s="28">
        <f>PROGRAMADO!CH26/'Anexo '!$M$20</f>
        <v>1577346.0506846921</v>
      </c>
      <c r="CI26" s="29">
        <f>PROGRAMADO!CI26/'Anexo '!$M$20</f>
        <v>1577346.0506846921</v>
      </c>
    </row>
    <row r="27" spans="1:87" x14ac:dyDescent="0.25">
      <c r="A27" s="23" t="s">
        <v>18</v>
      </c>
      <c r="B27" s="28">
        <f>PROGRAMADO!B27/'Anexo '!$B$20</f>
        <v>0</v>
      </c>
      <c r="C27" s="28">
        <f>PROGRAMADO!C27/'Anexo '!$B$20</f>
        <v>0</v>
      </c>
      <c r="D27" s="28">
        <f>PROGRAMADO!D27/'Anexo '!$B$20</f>
        <v>0</v>
      </c>
      <c r="E27" s="28">
        <f>PROGRAMADO!E27/'Anexo '!$B$20</f>
        <v>0</v>
      </c>
      <c r="F27" s="28">
        <f>PROGRAMADO!F27/'Anexo '!$B$20</f>
        <v>0</v>
      </c>
      <c r="G27" s="28">
        <f>PROGRAMADO!G27/'Anexo '!$B$20</f>
        <v>0</v>
      </c>
      <c r="H27" s="28">
        <f>PROGRAMADO!H27/'Anexo '!$B$20</f>
        <v>0</v>
      </c>
      <c r="I27" s="28">
        <f>PROGRAMADO!I27/'Anexo '!$C$20</f>
        <v>0</v>
      </c>
      <c r="J27" s="28">
        <f>PROGRAMADO!J27/'Anexo '!$C$20</f>
        <v>0</v>
      </c>
      <c r="K27" s="28">
        <f>PROGRAMADO!K27/'Anexo '!$C$20</f>
        <v>0</v>
      </c>
      <c r="L27" s="28">
        <f>PROGRAMADO!L27/'Anexo '!$C$20</f>
        <v>0</v>
      </c>
      <c r="M27" s="28">
        <f>PROGRAMADO!M27/'Anexo '!$C$20</f>
        <v>0</v>
      </c>
      <c r="N27" s="28">
        <f>PROGRAMADO!N27/'Anexo '!$C$20</f>
        <v>0</v>
      </c>
      <c r="O27" s="28">
        <f>PROGRAMADO!O27/'Anexo '!$C$20</f>
        <v>0</v>
      </c>
      <c r="P27" s="28">
        <f>PROGRAMADO!P27/'Anexo '!$D$20</f>
        <v>0</v>
      </c>
      <c r="Q27" s="28">
        <f>PROGRAMADO!Q27/'Anexo '!$D$20</f>
        <v>0</v>
      </c>
      <c r="R27" s="28">
        <f>PROGRAMADO!R27/'Anexo '!$D$20</f>
        <v>0</v>
      </c>
      <c r="S27" s="28">
        <f>PROGRAMADO!S27/'Anexo '!$D$20</f>
        <v>0</v>
      </c>
      <c r="T27" s="28">
        <f>PROGRAMADO!T27/'Anexo '!$D$20</f>
        <v>7205959.1153626218</v>
      </c>
      <c r="U27" s="28">
        <f>PROGRAMADO!U27/'Anexo '!$D$20</f>
        <v>7205959.1153626218</v>
      </c>
      <c r="V27" s="28">
        <f>PROGRAMADO!V27/'Anexo '!$D$20</f>
        <v>7205959.1153626218</v>
      </c>
      <c r="W27" s="28">
        <f>PROGRAMADO!W27/'Anexo '!$E$13</f>
        <v>0</v>
      </c>
      <c r="X27" s="28">
        <f>PROGRAMADO!X27/'Anexo '!$E$13</f>
        <v>124919.06752983865</v>
      </c>
      <c r="Y27" s="28">
        <f>PROGRAMADO!Y27/'Anexo '!$E$13</f>
        <v>124919.06752983865</v>
      </c>
      <c r="Z27" s="28">
        <f>PROGRAMADO!Z27/'Anexo '!$E$13</f>
        <v>741706.96345841698</v>
      </c>
      <c r="AA27" s="28">
        <f>PROGRAMADO!AA27/'Anexo '!$E$13</f>
        <v>3569116.2151382472</v>
      </c>
      <c r="AB27" s="28">
        <f>PROGRAMADO!AB27/'Anexo '!$E$13</f>
        <v>4310823.1785966642</v>
      </c>
      <c r="AC27" s="28">
        <f>PROGRAMADO!AC27/'Anexo '!$E$13</f>
        <v>4435742.2461265028</v>
      </c>
      <c r="AD27" s="28">
        <f>PROGRAMADO!AD27/'Anexo '!$F$20</f>
        <v>0</v>
      </c>
      <c r="AE27" s="28">
        <f>PROGRAMADO!AE27/'Anexo '!$F$20</f>
        <v>115000.00000000003</v>
      </c>
      <c r="AF27" s="28">
        <f>PROGRAMADO!AF27/'Anexo '!$F$20</f>
        <v>115000.00000000003</v>
      </c>
      <c r="AG27" s="28">
        <f>PROGRAMADO!AG27/'Anexo '!$F$20</f>
        <v>665000.00000000012</v>
      </c>
      <c r="AH27" s="28">
        <f>PROGRAMADO!AH27/'Anexo '!$F$20</f>
        <v>31405500.000000007</v>
      </c>
      <c r="AI27" s="28">
        <f>PROGRAMADO!AI27/'Anexo '!$F$20</f>
        <v>32070500.000000011</v>
      </c>
      <c r="AJ27" s="28">
        <f>PROGRAMADO!AJ27/'Anexo '!$F$20</f>
        <v>32185500.000000004</v>
      </c>
      <c r="AK27" s="28">
        <f>PROGRAMADO!AK27/'Anexo '!$G$20</f>
        <v>0</v>
      </c>
      <c r="AL27" s="28">
        <f>PROGRAMADO!AL27/'Anexo '!$G$20</f>
        <v>109250.52057886608</v>
      </c>
      <c r="AM27" s="28">
        <f>PROGRAMADO!AM27/'Anexo '!$G$20</f>
        <v>109250.52057886608</v>
      </c>
      <c r="AN27" s="28">
        <f>PROGRAMADO!AN27/'Anexo '!$G$20</f>
        <v>631753.01030387776</v>
      </c>
      <c r="AO27" s="28">
        <f>PROGRAMADO!AO27/'Anexo '!$G$20</f>
        <v>87849768.604256377</v>
      </c>
      <c r="AP27" s="28">
        <f>PROGRAMADO!AP27/'Anexo '!$G$20</f>
        <v>88481521.614560246</v>
      </c>
      <c r="AQ27" s="28">
        <f>PROGRAMADO!AQ27/'Anexo '!$G$20</f>
        <v>88590772.135139123</v>
      </c>
      <c r="AR27" s="28">
        <f>PROGRAMADO!AR27/'Anexo '!$H$20</f>
        <v>0</v>
      </c>
      <c r="AS27" s="28">
        <f>PROGRAMADO!AS27/'Anexo '!$H$20</f>
        <v>0</v>
      </c>
      <c r="AT27" s="28">
        <f>PROGRAMADO!AT27/'Anexo '!$H$20</f>
        <v>0</v>
      </c>
      <c r="AU27" s="28">
        <f>PROGRAMADO!AU27/'Anexo '!$H$20</f>
        <v>0</v>
      </c>
      <c r="AV27" s="28">
        <f>PROGRAMADO!AV27/'Anexo '!$H$20</f>
        <v>0</v>
      </c>
      <c r="AW27" s="28">
        <f>PROGRAMADO!AW27/'Anexo '!$H$20</f>
        <v>0</v>
      </c>
      <c r="AX27" s="28">
        <f>PROGRAMADO!AX27/'Anexo '!$H$20</f>
        <v>0</v>
      </c>
      <c r="AY27" s="28">
        <f>PROGRAMADO!AY27/'Anexo '!$I$20</f>
        <v>0</v>
      </c>
      <c r="AZ27" s="28">
        <f>PROGRAMADO!AZ27/'Anexo '!$I$20</f>
        <v>0</v>
      </c>
      <c r="BA27" s="28">
        <f>PROGRAMADO!BA27/'Anexo '!$I$20</f>
        <v>0</v>
      </c>
      <c r="BB27" s="28">
        <f>PROGRAMADO!BB27/'Anexo '!$I$20</f>
        <v>0</v>
      </c>
      <c r="BC27" s="28">
        <f>PROGRAMADO!BC27/'Anexo '!$I$20</f>
        <v>0</v>
      </c>
      <c r="BD27" s="28">
        <f>PROGRAMADO!BD27/'Anexo '!$I$20</f>
        <v>0</v>
      </c>
      <c r="BE27" s="28">
        <f>PROGRAMADO!BE27/'Anexo '!$I$20</f>
        <v>0</v>
      </c>
      <c r="BF27" s="28">
        <f>PROGRAMADO!BF27/'Anexo '!$J$20</f>
        <v>0</v>
      </c>
      <c r="BG27" s="28">
        <f>PROGRAMADO!BG27/'Anexo '!$J$20</f>
        <v>0</v>
      </c>
      <c r="BH27" s="28">
        <f>PROGRAMADO!BH27/'Anexo '!$J$20</f>
        <v>0</v>
      </c>
      <c r="BI27" s="28">
        <f>PROGRAMADO!BI27/'Anexo '!$J$20</f>
        <v>0</v>
      </c>
      <c r="BJ27" s="28">
        <f>PROGRAMADO!BJ27/'Anexo '!$J$20</f>
        <v>0</v>
      </c>
      <c r="BK27" s="28">
        <f>PROGRAMADO!BK27/'Anexo '!$J$20</f>
        <v>0</v>
      </c>
      <c r="BL27" s="28">
        <f>PROGRAMADO!BL27/'Anexo '!$J$20</f>
        <v>0</v>
      </c>
      <c r="BM27" s="28">
        <f>PROGRAMADO!BM27/'Anexo '!$K$20</f>
        <v>0</v>
      </c>
      <c r="BN27" s="28">
        <f>PROGRAMADO!BN27/'Anexo '!$K$20</f>
        <v>0</v>
      </c>
      <c r="BO27" s="28">
        <f>PROGRAMADO!BO27/'Anexo '!$K$20</f>
        <v>0</v>
      </c>
      <c r="BP27" s="28">
        <f>PROGRAMADO!BP27/'Anexo '!$K$20</f>
        <v>0</v>
      </c>
      <c r="BQ27" s="28">
        <f>PROGRAMADO!BQ27/'Anexo '!$K$20</f>
        <v>0</v>
      </c>
      <c r="BR27" s="28">
        <f>PROGRAMADO!BR27/'Anexo '!$K$20</f>
        <v>0</v>
      </c>
      <c r="BS27" s="28">
        <f>PROGRAMADO!BS27/'Anexo '!$K$20</f>
        <v>0</v>
      </c>
      <c r="BT27" s="28">
        <f>PROGRAMADO!BT27/'Anexo '!$L$20</f>
        <v>0</v>
      </c>
      <c r="BU27" s="28">
        <f>PROGRAMADO!BU27/'Anexo '!$L$20</f>
        <v>0</v>
      </c>
      <c r="BV27" s="28">
        <f>PROGRAMADO!BV27/'Anexo '!$L$20</f>
        <v>0</v>
      </c>
      <c r="BW27" s="28">
        <f>PROGRAMADO!BW27/'Anexo '!$L$20</f>
        <v>0</v>
      </c>
      <c r="BX27" s="28">
        <f>PROGRAMADO!BX27/'Anexo '!$L$20</f>
        <v>0</v>
      </c>
      <c r="BY27" s="28">
        <f>PROGRAMADO!BY27/'Anexo '!$L$20</f>
        <v>0</v>
      </c>
      <c r="BZ27" s="28">
        <f>PROGRAMADO!BZ27/'Anexo '!$L$20</f>
        <v>0</v>
      </c>
      <c r="CA27" s="28">
        <f>PROGRAMADO!CA27/'Anexo '!$L$20</f>
        <v>0</v>
      </c>
      <c r="CB27" s="28">
        <f>PROGRAMADO!CB27/'Anexo '!$M$20</f>
        <v>0</v>
      </c>
      <c r="CC27" s="28">
        <f>PROGRAMADO!CC27/'Anexo '!$M$20</f>
        <v>0</v>
      </c>
      <c r="CD27" s="28">
        <f>PROGRAMADO!CD27/'Anexo '!$M$20</f>
        <v>0</v>
      </c>
      <c r="CE27" s="28">
        <f>PROGRAMADO!CE27/'Anexo '!$M$20</f>
        <v>0</v>
      </c>
      <c r="CF27" s="28">
        <f>PROGRAMADO!CF27/'Anexo '!$M$20</f>
        <v>0</v>
      </c>
      <c r="CG27" s="28">
        <f>PROGRAMADO!CG27/'Anexo '!$M$20</f>
        <v>0</v>
      </c>
      <c r="CH27" s="28">
        <f>PROGRAMADO!CH27/'Anexo '!$M$20</f>
        <v>0</v>
      </c>
      <c r="CI27" s="29">
        <f>PROGRAMADO!CI27/'Anexo '!$M$20</f>
        <v>0</v>
      </c>
    </row>
    <row r="28" spans="1:87" x14ac:dyDescent="0.25">
      <c r="A28" s="23" t="s">
        <v>19</v>
      </c>
      <c r="B28" s="28">
        <f>PROGRAMADO!B28/'Anexo '!$B$20</f>
        <v>0</v>
      </c>
      <c r="C28" s="28">
        <f>PROGRAMADO!C28/'Anexo '!$B$20</f>
        <v>8237655.2474935446</v>
      </c>
      <c r="D28" s="28">
        <f>PROGRAMADO!D28/'Anexo '!$B$20</f>
        <v>8237655.2474935446</v>
      </c>
      <c r="E28" s="28">
        <f>PROGRAMADO!E28/'Anexo '!$B$20</f>
        <v>0</v>
      </c>
      <c r="F28" s="28">
        <f>PROGRAMADO!F28/'Anexo '!$B$20</f>
        <v>34983089.200570717</v>
      </c>
      <c r="G28" s="28">
        <f>PROGRAMADO!G28/'Anexo '!$B$20</f>
        <v>34983089.200570717</v>
      </c>
      <c r="H28" s="28">
        <f>PROGRAMADO!H28/'Anexo '!$B$20</f>
        <v>43220744.44806426</v>
      </c>
      <c r="I28" s="28">
        <f>PROGRAMADO!I28/'Anexo '!$C$20</f>
        <v>0</v>
      </c>
      <c r="J28" s="28">
        <f>PROGRAMADO!J28/'Anexo '!$C$20</f>
        <v>8468196.8438689932</v>
      </c>
      <c r="K28" s="28">
        <f>PROGRAMADO!K28/'Anexo '!$C$20</f>
        <v>8468196.8438689932</v>
      </c>
      <c r="L28" s="28">
        <f>PROGRAMADO!L28/'Anexo '!$C$20</f>
        <v>2789086.7584562665</v>
      </c>
      <c r="M28" s="28">
        <f>PROGRAMADO!M28/'Anexo '!$C$20</f>
        <v>7742650.2234844128</v>
      </c>
      <c r="N28" s="28">
        <f>PROGRAMADO!N28/'Anexo '!$C$20</f>
        <v>10531736.981940681</v>
      </c>
      <c r="O28" s="28">
        <f>PROGRAMADO!O28/'Anexo '!$C$20</f>
        <v>18999933.825809676</v>
      </c>
      <c r="P28" s="28">
        <f>PROGRAMADO!P28/'Anexo '!$D$20</f>
        <v>0</v>
      </c>
      <c r="Q28" s="28">
        <f>PROGRAMADO!Q28/'Anexo '!$D$20</f>
        <v>14077146.198935276</v>
      </c>
      <c r="R28" s="28">
        <f>PROGRAMADO!R28/'Anexo '!$D$20</f>
        <v>14077146.198935276</v>
      </c>
      <c r="S28" s="28">
        <f>PROGRAMADO!S28/'Anexo '!$D$20</f>
        <v>2885593.2741495091</v>
      </c>
      <c r="T28" s="28">
        <f>PROGRAMADO!T28/'Anexo '!$D$20</f>
        <v>0</v>
      </c>
      <c r="U28" s="28">
        <f>PROGRAMADO!U28/'Anexo '!$D$20</f>
        <v>2885593.2741495091</v>
      </c>
      <c r="V28" s="28">
        <f>PROGRAMADO!V28/'Anexo '!$D$20</f>
        <v>16962739.473084785</v>
      </c>
      <c r="W28" s="28">
        <f>PROGRAMADO!W28/'Anexo '!$E$13</f>
        <v>0</v>
      </c>
      <c r="X28" s="28">
        <f>PROGRAMADO!X28/'Anexo '!$E$13</f>
        <v>13460995.418415837</v>
      </c>
      <c r="Y28" s="28">
        <f>PROGRAMADO!Y28/'Anexo '!$E$13</f>
        <v>13460995.418415837</v>
      </c>
      <c r="Z28" s="28">
        <f>PROGRAMADO!Z28/'Anexo '!$E$13</f>
        <v>2853414.7247023815</v>
      </c>
      <c r="AA28" s="28">
        <f>PROGRAMADO!AA28/'Anexo '!$E$13</f>
        <v>1115348.8172307024</v>
      </c>
      <c r="AB28" s="28">
        <f>PROGRAMADO!AB28/'Anexo '!$E$13</f>
        <v>3968763.5419330834</v>
      </c>
      <c r="AC28" s="28">
        <f>PROGRAMADO!AC28/'Anexo '!$E$13</f>
        <v>17429758.960348919</v>
      </c>
      <c r="AD28" s="28">
        <f>PROGRAMADO!AD28/'Anexo '!$F$20</f>
        <v>0</v>
      </c>
      <c r="AE28" s="28">
        <f>PROGRAMADO!AE28/'Anexo '!$F$20</f>
        <v>15640944.000000004</v>
      </c>
      <c r="AF28" s="28">
        <f>PROGRAMADO!AF28/'Anexo '!$F$20</f>
        <v>15640944.000000004</v>
      </c>
      <c r="AG28" s="28">
        <f>PROGRAMADO!AG28/'Anexo '!$F$20</f>
        <v>46334004.000000007</v>
      </c>
      <c r="AH28" s="28">
        <f>PROGRAMADO!AH28/'Anexo '!$F$20</f>
        <v>9109530.0000000019</v>
      </c>
      <c r="AI28" s="28">
        <f>PROGRAMADO!AI28/'Anexo '!$F$20</f>
        <v>55443534.000000015</v>
      </c>
      <c r="AJ28" s="28">
        <f>PROGRAMADO!AJ28/'Anexo '!$F$20</f>
        <v>71084478.000000015</v>
      </c>
      <c r="AK28" s="28">
        <f>PROGRAMADO!AK28/'Anexo '!$G$20</f>
        <v>0</v>
      </c>
      <c r="AL28" s="28">
        <f>PROGRAMADO!AL28/'Anexo '!$G$20</f>
        <v>19561557.460845567</v>
      </c>
      <c r="AM28" s="28">
        <f>PROGRAMADO!AM28/'Anexo '!$G$20</f>
        <v>19561557.460845567</v>
      </c>
      <c r="AN28" s="28">
        <f>PROGRAMADO!AN28/'Anexo '!$G$20</f>
        <v>29638442.627215885</v>
      </c>
      <c r="AO28" s="28">
        <f>PROGRAMADO!AO28/'Anexo '!$G$20</f>
        <v>6172147.1102886368</v>
      </c>
      <c r="AP28" s="28">
        <f>PROGRAMADO!AP28/'Anexo '!$G$20</f>
        <v>35810589.73750452</v>
      </c>
      <c r="AQ28" s="28">
        <f>PROGRAMADO!AQ28/'Anexo '!$G$20</f>
        <v>55372147.198350087</v>
      </c>
      <c r="AR28" s="28">
        <f>PROGRAMADO!AR28/'Anexo '!$H$20</f>
        <v>0</v>
      </c>
      <c r="AS28" s="28">
        <f>PROGRAMADO!AS28/'Anexo '!$H$20</f>
        <v>0</v>
      </c>
      <c r="AT28" s="28">
        <f>PROGRAMADO!AT28/'Anexo '!$H$20</f>
        <v>0</v>
      </c>
      <c r="AU28" s="28">
        <f>PROGRAMADO!AU28/'Anexo '!$H$20</f>
        <v>0</v>
      </c>
      <c r="AV28" s="28">
        <f>PROGRAMADO!AV28/'Anexo '!$H$20</f>
        <v>0</v>
      </c>
      <c r="AW28" s="28">
        <f>PROGRAMADO!AW28/'Anexo '!$H$20</f>
        <v>0</v>
      </c>
      <c r="AX28" s="28">
        <f>PROGRAMADO!AX28/'Anexo '!$H$20</f>
        <v>0</v>
      </c>
      <c r="AY28" s="28">
        <f>PROGRAMADO!AY28/'Anexo '!$I$20</f>
        <v>0</v>
      </c>
      <c r="AZ28" s="28">
        <f>PROGRAMADO!AZ28/'Anexo '!$I$20</f>
        <v>0</v>
      </c>
      <c r="BA28" s="28">
        <f>PROGRAMADO!BA28/'Anexo '!$I$20</f>
        <v>0</v>
      </c>
      <c r="BB28" s="28">
        <f>PROGRAMADO!BB28/'Anexo '!$I$20</f>
        <v>7304590.9700624244</v>
      </c>
      <c r="BC28" s="28">
        <f>PROGRAMADO!BC28/'Anexo '!$I$20</f>
        <v>0</v>
      </c>
      <c r="BD28" s="28">
        <f>PROGRAMADO!BD28/'Anexo '!$I$20</f>
        <v>7304590.9700624244</v>
      </c>
      <c r="BE28" s="28">
        <f>PROGRAMADO!BE28/'Anexo '!$I$20</f>
        <v>7304590.9700624244</v>
      </c>
      <c r="BF28" s="28">
        <f>PROGRAMADO!BF28/'Anexo '!$J$20</f>
        <v>0</v>
      </c>
      <c r="BG28" s="28">
        <f>PROGRAMADO!BG28/'Anexo '!$J$20</f>
        <v>0</v>
      </c>
      <c r="BH28" s="28">
        <f>PROGRAMADO!BH28/'Anexo '!$J$20</f>
        <v>0</v>
      </c>
      <c r="BI28" s="28">
        <f>PROGRAMADO!BI28/'Anexo '!$J$20</f>
        <v>7600608.7042186251</v>
      </c>
      <c r="BJ28" s="28">
        <f>PROGRAMADO!BJ28/'Anexo '!$J$20</f>
        <v>0</v>
      </c>
      <c r="BK28" s="28">
        <f>PROGRAMADO!BK28/'Anexo '!$J$20</f>
        <v>7600608.7042186251</v>
      </c>
      <c r="BL28" s="28">
        <f>PROGRAMADO!BL28/'Anexo '!$J$20</f>
        <v>7600608.7042186251</v>
      </c>
      <c r="BM28" s="28">
        <f>PROGRAMADO!BM28/'Anexo '!$K$20</f>
        <v>0</v>
      </c>
      <c r="BN28" s="28">
        <f>PROGRAMADO!BN28/'Anexo '!$K$20</f>
        <v>0</v>
      </c>
      <c r="BO28" s="28">
        <f>PROGRAMADO!BO28/'Anexo '!$K$20</f>
        <v>0</v>
      </c>
      <c r="BP28" s="28">
        <f>PROGRAMADO!BP28/'Anexo '!$K$20</f>
        <v>25682140.872709546</v>
      </c>
      <c r="BQ28" s="28">
        <f>PROGRAMADO!BQ28/'Anexo '!$K$20</f>
        <v>0</v>
      </c>
      <c r="BR28" s="28">
        <f>PROGRAMADO!BR28/'Anexo '!$K$20</f>
        <v>25682140.872709546</v>
      </c>
      <c r="BS28" s="28">
        <f>PROGRAMADO!BS28/'Anexo '!$K$20</f>
        <v>25682140.872709546</v>
      </c>
      <c r="BT28" s="28">
        <f>PROGRAMADO!BT28/'Anexo '!$L$20</f>
        <v>0</v>
      </c>
      <c r="BU28" s="28">
        <f>PROGRAMADO!BU28/'Anexo '!$L$20</f>
        <v>0</v>
      </c>
      <c r="BV28" s="28">
        <f>PROGRAMADO!BV28/'Anexo '!$L$20</f>
        <v>0</v>
      </c>
      <c r="BW28" s="28">
        <f>PROGRAMADO!BW28/'Anexo '!$L$20</f>
        <v>0</v>
      </c>
      <c r="BX28" s="28">
        <f>PROGRAMADO!BX28/'Anexo '!$L$20</f>
        <v>0</v>
      </c>
      <c r="BY28" s="28">
        <f>PROGRAMADO!BY28/'Anexo '!$L$20</f>
        <v>0</v>
      </c>
      <c r="BZ28" s="28">
        <f>PROGRAMADO!BZ28/'Anexo '!$L$20</f>
        <v>0</v>
      </c>
      <c r="CA28" s="28">
        <f>PROGRAMADO!CA28/'Anexo '!$L$20</f>
        <v>0</v>
      </c>
      <c r="CB28" s="28">
        <f>PROGRAMADO!CB28/'Anexo '!$M$20</f>
        <v>0</v>
      </c>
      <c r="CC28" s="28">
        <f>PROGRAMADO!CC28/'Anexo '!$M$20</f>
        <v>0</v>
      </c>
      <c r="CD28" s="28">
        <f>PROGRAMADO!CD28/'Anexo '!$M$20</f>
        <v>0</v>
      </c>
      <c r="CE28" s="28">
        <f>PROGRAMADO!CE28/'Anexo '!$M$20</f>
        <v>0</v>
      </c>
      <c r="CF28" s="28">
        <f>PROGRAMADO!CF28/'Anexo '!$M$20</f>
        <v>14263235.564702004</v>
      </c>
      <c r="CG28" s="28">
        <f>PROGRAMADO!CG28/'Anexo '!$M$20</f>
        <v>0</v>
      </c>
      <c r="CH28" s="28">
        <f>PROGRAMADO!CH28/'Anexo '!$M$20</f>
        <v>14263235.564702004</v>
      </c>
      <c r="CI28" s="29">
        <f>PROGRAMADO!CI28/'Anexo '!$M$20</f>
        <v>14263235.564702004</v>
      </c>
    </row>
    <row r="29" spans="1:87" x14ac:dyDescent="0.25">
      <c r="A29" s="23" t="s">
        <v>20</v>
      </c>
      <c r="B29" s="28">
        <f>PROGRAMADO!B29/'Anexo '!$B$20</f>
        <v>0</v>
      </c>
      <c r="C29" s="28">
        <f>PROGRAMADO!C29/'Anexo '!$B$20</f>
        <v>0</v>
      </c>
      <c r="D29" s="28">
        <f>PROGRAMADO!D29/'Anexo '!$B$20</f>
        <v>0</v>
      </c>
      <c r="E29" s="28">
        <f>PROGRAMADO!E29/'Anexo '!$B$20</f>
        <v>0</v>
      </c>
      <c r="F29" s="28">
        <f>PROGRAMADO!F29/'Anexo '!$B$20</f>
        <v>0</v>
      </c>
      <c r="G29" s="28">
        <f>PROGRAMADO!G29/'Anexo '!$B$20</f>
        <v>0</v>
      </c>
      <c r="H29" s="28">
        <f>PROGRAMADO!H29/'Anexo '!$B$20</f>
        <v>0</v>
      </c>
      <c r="I29" s="28">
        <f>PROGRAMADO!I29/'Anexo '!$C$20</f>
        <v>0</v>
      </c>
      <c r="J29" s="28">
        <f>PROGRAMADO!J29/'Anexo '!$C$20</f>
        <v>0</v>
      </c>
      <c r="K29" s="28">
        <f>PROGRAMADO!K29/'Anexo '!$C$20</f>
        <v>0</v>
      </c>
      <c r="L29" s="28">
        <f>PROGRAMADO!L29/'Anexo '!$C$20</f>
        <v>0</v>
      </c>
      <c r="M29" s="28">
        <f>PROGRAMADO!M29/'Anexo '!$C$20</f>
        <v>0</v>
      </c>
      <c r="N29" s="28">
        <f>PROGRAMADO!N29/'Anexo '!$C$20</f>
        <v>0</v>
      </c>
      <c r="O29" s="28">
        <f>PROGRAMADO!O29/'Anexo '!$C$20</f>
        <v>0</v>
      </c>
      <c r="P29" s="28">
        <f>PROGRAMADO!P29/'Anexo '!$D$20</f>
        <v>0</v>
      </c>
      <c r="Q29" s="28">
        <f>PROGRAMADO!Q29/'Anexo '!$D$20</f>
        <v>193050.68914335838</v>
      </c>
      <c r="R29" s="28">
        <f>PROGRAMADO!R29/'Anexo '!$D$20</f>
        <v>193050.68914335838</v>
      </c>
      <c r="S29" s="28">
        <f>PROGRAMADO!S29/'Anexo '!$D$20</f>
        <v>3740382.0665098983</v>
      </c>
      <c r="T29" s="28">
        <f>PROGRAMADO!T29/'Anexo '!$D$20</f>
        <v>0</v>
      </c>
      <c r="U29" s="28">
        <f>PROGRAMADO!U29/'Anexo '!$D$20</f>
        <v>3740382.0665098983</v>
      </c>
      <c r="V29" s="28">
        <f>PROGRAMADO!V29/'Anexo '!$D$20</f>
        <v>3933432.7556532566</v>
      </c>
      <c r="W29" s="28">
        <f>PROGRAMADO!W29/'Anexo '!$E$13</f>
        <v>0</v>
      </c>
      <c r="X29" s="28">
        <f>PROGRAMADO!X29/'Anexo '!$E$13</f>
        <v>163875.97101807263</v>
      </c>
      <c r="Y29" s="28">
        <f>PROGRAMADO!Y29/'Anexo '!$E$13</f>
        <v>163875.97101807263</v>
      </c>
      <c r="Z29" s="28">
        <f>PROGRAMADO!Z29/'Anexo '!$E$13</f>
        <v>3249539.779932403</v>
      </c>
      <c r="AA29" s="28">
        <f>PROGRAMADO!AA29/'Anexo '!$E$13</f>
        <v>0</v>
      </c>
      <c r="AB29" s="28">
        <f>PROGRAMADO!AB29/'Anexo '!$E$13</f>
        <v>3249539.779932403</v>
      </c>
      <c r="AC29" s="28">
        <f>PROGRAMADO!AC29/'Anexo '!$E$13</f>
        <v>3413415.7509504757</v>
      </c>
      <c r="AD29" s="28">
        <f>PROGRAMADO!AD29/'Anexo '!$F$20</f>
        <v>0</v>
      </c>
      <c r="AE29" s="28">
        <f>PROGRAMADO!AE29/'Anexo '!$F$20</f>
        <v>172500.00000000003</v>
      </c>
      <c r="AF29" s="28">
        <f>PROGRAMADO!AF29/'Anexo '!$F$20</f>
        <v>172500.00000000003</v>
      </c>
      <c r="AG29" s="28">
        <f>PROGRAMADO!AG29/'Anexo '!$F$20</f>
        <v>5866159.0000000009</v>
      </c>
      <c r="AH29" s="28">
        <f>PROGRAMADO!AH29/'Anexo '!$F$20</f>
        <v>0</v>
      </c>
      <c r="AI29" s="28">
        <f>PROGRAMADO!AI29/'Anexo '!$F$20</f>
        <v>5866159.0000000009</v>
      </c>
      <c r="AJ29" s="28">
        <f>PROGRAMADO!AJ29/'Anexo '!$F$20</f>
        <v>6038659.0000000009</v>
      </c>
      <c r="AK29" s="28">
        <f>PROGRAMADO!AK29/'Anexo '!$G$20</f>
        <v>0</v>
      </c>
      <c r="AL29" s="28">
        <f>PROGRAMADO!AL29/'Anexo '!$G$20</f>
        <v>163875.78086829913</v>
      </c>
      <c r="AM29" s="28">
        <f>PROGRAMADO!AM29/'Anexo '!$G$20</f>
        <v>163875.78086829913</v>
      </c>
      <c r="AN29" s="28">
        <f>PROGRAMADO!AN29/'Anexo '!$G$20</f>
        <v>5447902.6092626909</v>
      </c>
      <c r="AO29" s="28">
        <f>PROGRAMADO!AO29/'Anexo '!$G$20</f>
        <v>0</v>
      </c>
      <c r="AP29" s="28">
        <f>PROGRAMADO!AP29/'Anexo '!$G$20</f>
        <v>5447902.6092626909</v>
      </c>
      <c r="AQ29" s="28">
        <f>PROGRAMADO!AQ29/'Anexo '!$G$20</f>
        <v>5611778.3901309902</v>
      </c>
      <c r="AR29" s="28">
        <f>PROGRAMADO!AR29/'Anexo '!$H$20</f>
        <v>0</v>
      </c>
      <c r="AS29" s="28">
        <f>PROGRAMADO!AS29/'Anexo '!$H$20</f>
        <v>0</v>
      </c>
      <c r="AT29" s="28">
        <f>PROGRAMADO!AT29/'Anexo '!$H$20</f>
        <v>0</v>
      </c>
      <c r="AU29" s="28">
        <f>PROGRAMADO!AU29/'Anexo '!$H$20</f>
        <v>0</v>
      </c>
      <c r="AV29" s="28">
        <f>PROGRAMADO!AV29/'Anexo '!$H$20</f>
        <v>0</v>
      </c>
      <c r="AW29" s="28">
        <f>PROGRAMADO!AW29/'Anexo '!$H$20</f>
        <v>0</v>
      </c>
      <c r="AX29" s="28">
        <f>PROGRAMADO!AX29/'Anexo '!$H$20</f>
        <v>0</v>
      </c>
      <c r="AY29" s="28">
        <f>PROGRAMADO!AY29/'Anexo '!$I$20</f>
        <v>0</v>
      </c>
      <c r="AZ29" s="28">
        <f>PROGRAMADO!AZ29/'Anexo '!$I$20</f>
        <v>0</v>
      </c>
      <c r="BA29" s="28">
        <f>PROGRAMADO!BA29/'Anexo '!$I$20</f>
        <v>0</v>
      </c>
      <c r="BB29" s="28">
        <f>PROGRAMADO!BB29/'Anexo '!$I$20</f>
        <v>0</v>
      </c>
      <c r="BC29" s="28">
        <f>PROGRAMADO!BC29/'Anexo '!$I$20</f>
        <v>0</v>
      </c>
      <c r="BD29" s="28">
        <f>PROGRAMADO!BD29/'Anexo '!$I$20</f>
        <v>0</v>
      </c>
      <c r="BE29" s="28">
        <f>PROGRAMADO!BE29/'Anexo '!$I$20</f>
        <v>0</v>
      </c>
      <c r="BF29" s="28">
        <f>PROGRAMADO!BF29/'Anexo '!$J$20</f>
        <v>0</v>
      </c>
      <c r="BG29" s="28">
        <f>PROGRAMADO!BG29/'Anexo '!$J$20</f>
        <v>0</v>
      </c>
      <c r="BH29" s="28">
        <f>PROGRAMADO!BH29/'Anexo '!$J$20</f>
        <v>0</v>
      </c>
      <c r="BI29" s="28">
        <f>PROGRAMADO!BI29/'Anexo '!$J$20</f>
        <v>0</v>
      </c>
      <c r="BJ29" s="28">
        <f>PROGRAMADO!BJ29/'Anexo '!$J$20</f>
        <v>0</v>
      </c>
      <c r="BK29" s="28">
        <f>PROGRAMADO!BK29/'Anexo '!$J$20</f>
        <v>0</v>
      </c>
      <c r="BL29" s="28">
        <f>PROGRAMADO!BL29/'Anexo '!$J$20</f>
        <v>0</v>
      </c>
      <c r="BM29" s="28">
        <f>PROGRAMADO!BM29/'Anexo '!$K$20</f>
        <v>0</v>
      </c>
      <c r="BN29" s="28">
        <f>PROGRAMADO!BN29/'Anexo '!$K$20</f>
        <v>0</v>
      </c>
      <c r="BO29" s="28">
        <f>PROGRAMADO!BO29/'Anexo '!$K$20</f>
        <v>0</v>
      </c>
      <c r="BP29" s="28">
        <f>PROGRAMADO!BP29/'Anexo '!$K$20</f>
        <v>0</v>
      </c>
      <c r="BQ29" s="28">
        <f>PROGRAMADO!BQ29/'Anexo '!$K$20</f>
        <v>0</v>
      </c>
      <c r="BR29" s="28">
        <f>PROGRAMADO!BR29/'Anexo '!$K$20</f>
        <v>0</v>
      </c>
      <c r="BS29" s="28">
        <f>PROGRAMADO!BS29/'Anexo '!$K$20</f>
        <v>0</v>
      </c>
      <c r="BT29" s="28">
        <f>PROGRAMADO!BT29/'Anexo '!$L$20</f>
        <v>0</v>
      </c>
      <c r="BU29" s="28">
        <f>PROGRAMADO!BU29/'Anexo '!$L$20</f>
        <v>0</v>
      </c>
      <c r="BV29" s="28">
        <f>PROGRAMADO!BV29/'Anexo '!$L$20</f>
        <v>0</v>
      </c>
      <c r="BW29" s="28">
        <f>PROGRAMADO!BW29/'Anexo '!$L$20</f>
        <v>0</v>
      </c>
      <c r="BX29" s="28">
        <f>PROGRAMADO!BX29/'Anexo '!$L$20</f>
        <v>0</v>
      </c>
      <c r="BY29" s="28">
        <f>PROGRAMADO!BY29/'Anexo '!$L$20</f>
        <v>0</v>
      </c>
      <c r="BZ29" s="28">
        <f>PROGRAMADO!BZ29/'Anexo '!$L$20</f>
        <v>0</v>
      </c>
      <c r="CA29" s="28">
        <f>PROGRAMADO!CA29/'Anexo '!$L$20</f>
        <v>0</v>
      </c>
      <c r="CB29" s="28">
        <f>PROGRAMADO!CB29/'Anexo '!$M$20</f>
        <v>0</v>
      </c>
      <c r="CC29" s="28">
        <f>PROGRAMADO!CC29/'Anexo '!$M$20</f>
        <v>0</v>
      </c>
      <c r="CD29" s="28">
        <f>PROGRAMADO!CD29/'Anexo '!$M$20</f>
        <v>0</v>
      </c>
      <c r="CE29" s="28">
        <f>PROGRAMADO!CE29/'Anexo '!$M$20</f>
        <v>0</v>
      </c>
      <c r="CF29" s="28">
        <f>PROGRAMADO!CF29/'Anexo '!$M$20</f>
        <v>0</v>
      </c>
      <c r="CG29" s="28">
        <f>PROGRAMADO!CG29/'Anexo '!$M$20</f>
        <v>0</v>
      </c>
      <c r="CH29" s="28">
        <f>PROGRAMADO!CH29/'Anexo '!$M$20</f>
        <v>0</v>
      </c>
      <c r="CI29" s="29">
        <f>PROGRAMADO!CI29/'Anexo '!$M$20</f>
        <v>0</v>
      </c>
    </row>
    <row r="30" spans="1:87" x14ac:dyDescent="0.25">
      <c r="A30" s="23" t="s">
        <v>67</v>
      </c>
      <c r="B30" s="28">
        <f>PROGRAMADO!B30/'Anexo '!$B$20</f>
        <v>0</v>
      </c>
      <c r="C30" s="28">
        <f>PROGRAMADO!C30/'Anexo '!$B$20</f>
        <v>236791.78502636304</v>
      </c>
      <c r="D30" s="28">
        <f>PROGRAMADO!D30/'Anexo '!$B$20</f>
        <v>236791.78502636304</v>
      </c>
      <c r="E30" s="28">
        <f>PROGRAMADO!E30/'Anexo '!$B$20</f>
        <v>2367917.8502636305</v>
      </c>
      <c r="F30" s="28">
        <f>PROGRAMADO!F30/'Anexo '!$B$20</f>
        <v>0</v>
      </c>
      <c r="G30" s="28">
        <f>PROGRAMADO!G30/'Anexo '!$B$20</f>
        <v>2367917.8502636305</v>
      </c>
      <c r="H30" s="28">
        <f>PROGRAMADO!H30/'Anexo '!$B$20</f>
        <v>2604709.6352899931</v>
      </c>
      <c r="I30" s="28">
        <f>PROGRAMADO!I30/'Anexo '!$C$20</f>
        <v>0</v>
      </c>
      <c r="J30" s="28">
        <f>PROGRAMADO!J30/'Anexo '!$C$20</f>
        <v>153636.71501293941</v>
      </c>
      <c r="K30" s="28">
        <f>PROGRAMADO!K30/'Anexo '!$C$20</f>
        <v>153636.71501293941</v>
      </c>
      <c r="L30" s="28">
        <f>PROGRAMADO!L30/'Anexo '!$C$20</f>
        <v>1536367.1501293941</v>
      </c>
      <c r="M30" s="28">
        <f>PROGRAMADO!M30/'Anexo '!$C$20</f>
        <v>0</v>
      </c>
      <c r="N30" s="28">
        <f>PROGRAMADO!N30/'Anexo '!$C$20</f>
        <v>1536367.1501293941</v>
      </c>
      <c r="O30" s="28">
        <f>PROGRAMADO!O30/'Anexo '!$C$20</f>
        <v>1690003.8651423336</v>
      </c>
      <c r="P30" s="28">
        <f>PROGRAMADO!P30/'Anexo '!$D$20</f>
        <v>0</v>
      </c>
      <c r="Q30" s="28">
        <f>PROGRAMADO!Q30/'Anexo '!$D$20</f>
        <v>0</v>
      </c>
      <c r="R30" s="28">
        <f>PROGRAMADO!R30/'Anexo '!$D$20</f>
        <v>0</v>
      </c>
      <c r="S30" s="28">
        <f>PROGRAMADO!S30/'Anexo '!$D$20</f>
        <v>0</v>
      </c>
      <c r="T30" s="28">
        <f>PROGRAMADO!T30/'Anexo '!$D$20</f>
        <v>0</v>
      </c>
      <c r="U30" s="28">
        <f>PROGRAMADO!U30/'Anexo '!$D$20</f>
        <v>0</v>
      </c>
      <c r="V30" s="28">
        <f>PROGRAMADO!V30/'Anexo '!$D$20</f>
        <v>0</v>
      </c>
      <c r="W30" s="28">
        <f>PROGRAMADO!W30/'Anexo '!$E$13</f>
        <v>0</v>
      </c>
      <c r="X30" s="28">
        <f>PROGRAMADO!X30/'Anexo '!$E$13</f>
        <v>0</v>
      </c>
      <c r="Y30" s="28">
        <f>PROGRAMADO!Y30/'Anexo '!$E$13</f>
        <v>0</v>
      </c>
      <c r="Z30" s="28">
        <f>PROGRAMADO!Z30/'Anexo '!$E$13</f>
        <v>0</v>
      </c>
      <c r="AA30" s="28">
        <f>PROGRAMADO!AA30/'Anexo '!$E$13</f>
        <v>0</v>
      </c>
      <c r="AB30" s="28">
        <f>PROGRAMADO!AB30/'Anexo '!$E$13</f>
        <v>0</v>
      </c>
      <c r="AC30" s="28">
        <f>PROGRAMADO!AC30/'Anexo '!$E$13</f>
        <v>0</v>
      </c>
      <c r="AD30" s="28">
        <f>PROGRAMADO!AD30/'Anexo '!$F$20</f>
        <v>0</v>
      </c>
      <c r="AE30" s="28">
        <f>PROGRAMADO!AE30/'Anexo '!$F$20</f>
        <v>0</v>
      </c>
      <c r="AF30" s="28">
        <f>PROGRAMADO!AF30/'Anexo '!$F$20</f>
        <v>0</v>
      </c>
      <c r="AG30" s="28">
        <f>PROGRAMADO!AG30/'Anexo '!$F$20</f>
        <v>0</v>
      </c>
      <c r="AH30" s="28">
        <f>PROGRAMADO!AH30/'Anexo '!$F$20</f>
        <v>0</v>
      </c>
      <c r="AI30" s="28">
        <f>PROGRAMADO!AI30/'Anexo '!$F$20</f>
        <v>0</v>
      </c>
      <c r="AJ30" s="28">
        <f>PROGRAMADO!AJ30/'Anexo '!$F$20</f>
        <v>0</v>
      </c>
      <c r="AK30" s="28">
        <f>PROGRAMADO!AK30/'Anexo '!$G$20</f>
        <v>0</v>
      </c>
      <c r="AL30" s="28">
        <f>PROGRAMADO!AL30/'Anexo '!$G$20</f>
        <v>0</v>
      </c>
      <c r="AM30" s="28">
        <f>PROGRAMADO!AM30/'Anexo '!$G$20</f>
        <v>0</v>
      </c>
      <c r="AN30" s="28">
        <f>PROGRAMADO!AN30/'Anexo '!$G$20</f>
        <v>0</v>
      </c>
      <c r="AO30" s="28">
        <f>PROGRAMADO!AO30/'Anexo '!$G$20</f>
        <v>0</v>
      </c>
      <c r="AP30" s="28">
        <f>PROGRAMADO!AP30/'Anexo '!$G$20</f>
        <v>0</v>
      </c>
      <c r="AQ30" s="28">
        <f>PROGRAMADO!AQ30/'Anexo '!$G$20</f>
        <v>0</v>
      </c>
      <c r="AR30" s="28">
        <f>PROGRAMADO!AR30/'Anexo '!$H$20</f>
        <v>0</v>
      </c>
      <c r="AS30" s="28">
        <f>PROGRAMADO!AS30/'Anexo '!$H$20</f>
        <v>0</v>
      </c>
      <c r="AT30" s="28">
        <f>PROGRAMADO!AT30/'Anexo '!$H$20</f>
        <v>0</v>
      </c>
      <c r="AU30" s="28">
        <f>PROGRAMADO!AU30/'Anexo '!$H$20</f>
        <v>0</v>
      </c>
      <c r="AV30" s="28">
        <f>PROGRAMADO!AV30/'Anexo '!$H$20</f>
        <v>0</v>
      </c>
      <c r="AW30" s="28">
        <f>PROGRAMADO!AW30/'Anexo '!$H$20</f>
        <v>0</v>
      </c>
      <c r="AX30" s="28">
        <f>PROGRAMADO!AX30/'Anexo '!$H$20</f>
        <v>0</v>
      </c>
      <c r="AY30" s="28">
        <f>PROGRAMADO!AY30/'Anexo '!$I$20</f>
        <v>0</v>
      </c>
      <c r="AZ30" s="28">
        <f>PROGRAMADO!AZ30/'Anexo '!$I$20</f>
        <v>0</v>
      </c>
      <c r="BA30" s="28">
        <f>PROGRAMADO!BA30/'Anexo '!$I$20</f>
        <v>0</v>
      </c>
      <c r="BB30" s="28">
        <f>PROGRAMADO!BB30/'Anexo '!$I$20</f>
        <v>0</v>
      </c>
      <c r="BC30" s="28">
        <f>PROGRAMADO!BC30/'Anexo '!$I$20</f>
        <v>0</v>
      </c>
      <c r="BD30" s="28">
        <f>PROGRAMADO!BD30/'Anexo '!$I$20</f>
        <v>0</v>
      </c>
      <c r="BE30" s="28">
        <f>PROGRAMADO!BE30/'Anexo '!$I$20</f>
        <v>0</v>
      </c>
      <c r="BF30" s="28">
        <f>PROGRAMADO!BF30/'Anexo '!$J$20</f>
        <v>0</v>
      </c>
      <c r="BG30" s="28">
        <f>PROGRAMADO!BG30/'Anexo '!$J$20</f>
        <v>0</v>
      </c>
      <c r="BH30" s="28">
        <f>PROGRAMADO!BH30/'Anexo '!$J$20</f>
        <v>0</v>
      </c>
      <c r="BI30" s="28">
        <f>PROGRAMADO!BI30/'Anexo '!$J$20</f>
        <v>0</v>
      </c>
      <c r="BJ30" s="28">
        <f>PROGRAMADO!BJ30/'Anexo '!$J$20</f>
        <v>0</v>
      </c>
      <c r="BK30" s="28">
        <f>PROGRAMADO!BK30/'Anexo '!$J$20</f>
        <v>0</v>
      </c>
      <c r="BL30" s="28">
        <f>PROGRAMADO!BL30/'Anexo '!$J$20</f>
        <v>0</v>
      </c>
      <c r="BM30" s="28">
        <f>PROGRAMADO!BM30/'Anexo '!$K$20</f>
        <v>0</v>
      </c>
      <c r="BN30" s="28">
        <f>PROGRAMADO!BN30/'Anexo '!$K$20</f>
        <v>0</v>
      </c>
      <c r="BO30" s="28">
        <f>PROGRAMADO!BO30/'Anexo '!$K$20</f>
        <v>0</v>
      </c>
      <c r="BP30" s="28">
        <f>PROGRAMADO!BP30/'Anexo '!$K$20</f>
        <v>0</v>
      </c>
      <c r="BQ30" s="28">
        <f>PROGRAMADO!BQ30/'Anexo '!$K$20</f>
        <v>0</v>
      </c>
      <c r="BR30" s="28">
        <f>PROGRAMADO!BR30/'Anexo '!$K$20</f>
        <v>0</v>
      </c>
      <c r="BS30" s="28">
        <f>PROGRAMADO!BS30/'Anexo '!$K$20</f>
        <v>0</v>
      </c>
      <c r="BT30" s="28">
        <f>PROGRAMADO!BT30/'Anexo '!$L$20</f>
        <v>0</v>
      </c>
      <c r="BU30" s="28">
        <f>PROGRAMADO!BU30/'Anexo '!$L$20</f>
        <v>0</v>
      </c>
      <c r="BV30" s="28">
        <f>PROGRAMADO!BV30/'Anexo '!$L$20</f>
        <v>0</v>
      </c>
      <c r="BW30" s="28">
        <f>PROGRAMADO!BW30/'Anexo '!$L$20</f>
        <v>0</v>
      </c>
      <c r="BX30" s="28">
        <f>PROGRAMADO!BX30/'Anexo '!$L$20</f>
        <v>0</v>
      </c>
      <c r="BY30" s="28">
        <f>PROGRAMADO!BY30/'Anexo '!$L$20</f>
        <v>0</v>
      </c>
      <c r="BZ30" s="28">
        <f>PROGRAMADO!BZ30/'Anexo '!$L$20</f>
        <v>0</v>
      </c>
      <c r="CA30" s="28">
        <f>PROGRAMADO!CA30/'Anexo '!$L$20</f>
        <v>0</v>
      </c>
      <c r="CB30" s="28">
        <f>PROGRAMADO!CB30/'Anexo '!$M$20</f>
        <v>0</v>
      </c>
      <c r="CC30" s="28">
        <f>PROGRAMADO!CC30/'Anexo '!$M$20</f>
        <v>0</v>
      </c>
      <c r="CD30" s="28">
        <f>PROGRAMADO!CD30/'Anexo '!$M$20</f>
        <v>0</v>
      </c>
      <c r="CE30" s="28">
        <f>PROGRAMADO!CE30/'Anexo '!$M$20</f>
        <v>0</v>
      </c>
      <c r="CF30" s="28">
        <f>PROGRAMADO!CF30/'Anexo '!$M$20</f>
        <v>0</v>
      </c>
      <c r="CG30" s="28">
        <f>PROGRAMADO!CG30/'Anexo '!$M$20</f>
        <v>0</v>
      </c>
      <c r="CH30" s="28">
        <f>PROGRAMADO!CH30/'Anexo '!$M$20</f>
        <v>0</v>
      </c>
      <c r="CI30" s="29">
        <f>PROGRAMADO!CI30/'Anexo '!$M$20</f>
        <v>0</v>
      </c>
    </row>
    <row r="31" spans="1:87" x14ac:dyDescent="0.25">
      <c r="A31" s="23" t="s">
        <v>21</v>
      </c>
      <c r="B31" s="28">
        <f>PROGRAMADO!B31/'Anexo '!$B$20</f>
        <v>0</v>
      </c>
      <c r="C31" s="28">
        <f>PROGRAMADO!C31/'Anexo '!$B$20</f>
        <v>6553842.3616076931</v>
      </c>
      <c r="D31" s="28">
        <f>PROGRAMADO!D31/'Anexo '!$B$20</f>
        <v>6553842.3616076931</v>
      </c>
      <c r="E31" s="28">
        <f>PROGRAMADO!E31/'Anexo '!$B$20</f>
        <v>19276007.513800513</v>
      </c>
      <c r="F31" s="28">
        <f>PROGRAMADO!F31/'Anexo '!$B$20</f>
        <v>0</v>
      </c>
      <c r="G31" s="28">
        <f>PROGRAMADO!G31/'Anexo '!$B$20</f>
        <v>19276007.513800513</v>
      </c>
      <c r="H31" s="28">
        <f>PROGRAMADO!H31/'Anexo '!$B$20</f>
        <v>25829849.875408202</v>
      </c>
      <c r="I31" s="28">
        <f>PROGRAMADO!I31/'Anexo '!$C$20</f>
        <v>0</v>
      </c>
      <c r="J31" s="28">
        <f>PROGRAMADO!J31/'Anexo '!$C$20</f>
        <v>3609108.6335033285</v>
      </c>
      <c r="K31" s="28">
        <f>PROGRAMADO!K31/'Anexo '!$C$20</f>
        <v>3609108.6335033285</v>
      </c>
      <c r="L31" s="28">
        <f>PROGRAMADO!L31/'Anexo '!$C$20</f>
        <v>24414933.560515519</v>
      </c>
      <c r="M31" s="28">
        <f>PROGRAMADO!M31/'Anexo '!$C$20</f>
        <v>0</v>
      </c>
      <c r="N31" s="28">
        <f>PROGRAMADO!N31/'Anexo '!$C$20</f>
        <v>24414933.560515519</v>
      </c>
      <c r="O31" s="28">
        <f>PROGRAMADO!O31/'Anexo '!$C$20</f>
        <v>28024042.194018848</v>
      </c>
      <c r="P31" s="28">
        <f>PROGRAMADO!P31/'Anexo '!$D$20</f>
        <v>0</v>
      </c>
      <c r="Q31" s="28">
        <f>PROGRAMADO!Q31/'Anexo '!$D$20</f>
        <v>2708535.5406596204</v>
      </c>
      <c r="R31" s="28">
        <f>PROGRAMADO!R31/'Anexo '!$D$20</f>
        <v>2708535.5406596204</v>
      </c>
      <c r="S31" s="28">
        <f>PROGRAMADO!S31/'Anexo '!$D$20</f>
        <v>17872687.669921704</v>
      </c>
      <c r="T31" s="28">
        <f>PROGRAMADO!T31/'Anexo '!$D$20</f>
        <v>0</v>
      </c>
      <c r="U31" s="28">
        <f>PROGRAMADO!U31/'Anexo '!$D$20</f>
        <v>17872687.669921704</v>
      </c>
      <c r="V31" s="28">
        <f>PROGRAMADO!V31/'Anexo '!$D$20</f>
        <v>20581223.210581325</v>
      </c>
      <c r="W31" s="28">
        <f>PROGRAMADO!W31/'Anexo '!$E$13</f>
        <v>0</v>
      </c>
      <c r="X31" s="28">
        <f>PROGRAMADO!X31/'Anexo '!$E$13</f>
        <v>2299180.0518393698</v>
      </c>
      <c r="Y31" s="28">
        <f>PROGRAMADO!Y31/'Anexo '!$E$13</f>
        <v>2299180.0518393698</v>
      </c>
      <c r="Z31" s="28">
        <f>PROGRAMADO!Z31/'Anexo '!$E$13</f>
        <v>12419038.78405655</v>
      </c>
      <c r="AA31" s="28">
        <f>PROGRAMADO!AA31/'Anexo '!$E$13</f>
        <v>0</v>
      </c>
      <c r="AB31" s="28">
        <f>PROGRAMADO!AB31/'Anexo '!$E$13</f>
        <v>12419038.78405655</v>
      </c>
      <c r="AC31" s="28">
        <f>PROGRAMADO!AC31/'Anexo '!$E$13</f>
        <v>14718218.835895918</v>
      </c>
      <c r="AD31" s="28">
        <f>PROGRAMADO!AD31/'Anexo '!$F$20</f>
        <v>0</v>
      </c>
      <c r="AE31" s="28">
        <f>PROGRAMADO!AE31/'Anexo '!$F$20</f>
        <v>1463630.0000000002</v>
      </c>
      <c r="AF31" s="28">
        <f>PROGRAMADO!AF31/'Anexo '!$F$20</f>
        <v>1463630.0000000002</v>
      </c>
      <c r="AG31" s="28">
        <f>PROGRAMADO!AG31/'Anexo '!$F$20</f>
        <v>7318154.0000000019</v>
      </c>
      <c r="AH31" s="28">
        <f>PROGRAMADO!AH31/'Anexo '!$F$20</f>
        <v>0</v>
      </c>
      <c r="AI31" s="28">
        <f>PROGRAMADO!AI31/'Anexo '!$F$20</f>
        <v>7318154.0000000019</v>
      </c>
      <c r="AJ31" s="28">
        <f>PROGRAMADO!AJ31/'Anexo '!$F$20</f>
        <v>8781784.0000000019</v>
      </c>
      <c r="AK31" s="28">
        <f>PROGRAMADO!AK31/'Anexo '!$G$20</f>
        <v>0</v>
      </c>
      <c r="AL31" s="28">
        <f>PROGRAMADO!AL31/'Anexo '!$G$20</f>
        <v>1816065.7035553302</v>
      </c>
      <c r="AM31" s="28">
        <f>PROGRAMADO!AM31/'Anexo '!$G$20</f>
        <v>1816065.7035553302</v>
      </c>
      <c r="AN31" s="28">
        <f>PROGRAMADO!AN31/'Anexo '!$G$20</f>
        <v>9877319.6154402196</v>
      </c>
      <c r="AO31" s="28">
        <f>PROGRAMADO!AO31/'Anexo '!$G$20</f>
        <v>0</v>
      </c>
      <c r="AP31" s="28">
        <f>PROGRAMADO!AP31/'Anexo '!$G$20</f>
        <v>9877319.6154402196</v>
      </c>
      <c r="AQ31" s="28">
        <f>PROGRAMADO!AQ31/'Anexo '!$G$20</f>
        <v>11693385.31899555</v>
      </c>
      <c r="AR31" s="28">
        <f>PROGRAMADO!AR31/'Anexo '!$H$20</f>
        <v>0</v>
      </c>
      <c r="AS31" s="28">
        <f>PROGRAMADO!AS31/'Anexo '!$H$20</f>
        <v>0</v>
      </c>
      <c r="AT31" s="28">
        <f>PROGRAMADO!AT31/'Anexo '!$H$20</f>
        <v>0</v>
      </c>
      <c r="AU31" s="28">
        <f>PROGRAMADO!AU31/'Anexo '!$H$20</f>
        <v>0</v>
      </c>
      <c r="AV31" s="28">
        <f>PROGRAMADO!AV31/'Anexo '!$H$20</f>
        <v>0</v>
      </c>
      <c r="AW31" s="28">
        <f>PROGRAMADO!AW31/'Anexo '!$H$20</f>
        <v>0</v>
      </c>
      <c r="AX31" s="28">
        <f>PROGRAMADO!AX31/'Anexo '!$H$20</f>
        <v>0</v>
      </c>
      <c r="AY31" s="28">
        <f>PROGRAMADO!AY31/'Anexo '!$I$20</f>
        <v>0</v>
      </c>
      <c r="AZ31" s="28">
        <f>PROGRAMADO!AZ31/'Anexo '!$I$20</f>
        <v>0</v>
      </c>
      <c r="BA31" s="28">
        <f>PROGRAMADO!BA31/'Anexo '!$I$20</f>
        <v>0</v>
      </c>
      <c r="BB31" s="28">
        <f>PROGRAMADO!BB31/'Anexo '!$I$20</f>
        <v>0</v>
      </c>
      <c r="BC31" s="28">
        <f>PROGRAMADO!BC31/'Anexo '!$I$20</f>
        <v>0</v>
      </c>
      <c r="BD31" s="28">
        <f>PROGRAMADO!BD31/'Anexo '!$I$20</f>
        <v>0</v>
      </c>
      <c r="BE31" s="28">
        <f>PROGRAMADO!BE31/'Anexo '!$I$20</f>
        <v>0</v>
      </c>
      <c r="BF31" s="28">
        <f>PROGRAMADO!BF31/'Anexo '!$J$20</f>
        <v>0</v>
      </c>
      <c r="BG31" s="28">
        <f>PROGRAMADO!BG31/'Anexo '!$J$20</f>
        <v>0</v>
      </c>
      <c r="BH31" s="28">
        <f>PROGRAMADO!BH31/'Anexo '!$J$20</f>
        <v>0</v>
      </c>
      <c r="BI31" s="28">
        <f>PROGRAMADO!BI31/'Anexo '!$J$20</f>
        <v>0</v>
      </c>
      <c r="BJ31" s="28">
        <f>PROGRAMADO!BJ31/'Anexo '!$J$20</f>
        <v>0</v>
      </c>
      <c r="BK31" s="28">
        <f>PROGRAMADO!BK31/'Anexo '!$J$20</f>
        <v>0</v>
      </c>
      <c r="BL31" s="28">
        <f>PROGRAMADO!BL31/'Anexo '!$J$20</f>
        <v>0</v>
      </c>
      <c r="BM31" s="28">
        <f>PROGRAMADO!BM31/'Anexo '!$K$20</f>
        <v>0</v>
      </c>
      <c r="BN31" s="28">
        <f>PROGRAMADO!BN31/'Anexo '!$K$20</f>
        <v>0</v>
      </c>
      <c r="BO31" s="28">
        <f>PROGRAMADO!BO31/'Anexo '!$K$20</f>
        <v>0</v>
      </c>
      <c r="BP31" s="28">
        <f>PROGRAMADO!BP31/'Anexo '!$K$20</f>
        <v>0</v>
      </c>
      <c r="BQ31" s="28">
        <f>PROGRAMADO!BQ31/'Anexo '!$K$20</f>
        <v>126222045.64753094</v>
      </c>
      <c r="BR31" s="28">
        <f>PROGRAMADO!BR31/'Anexo '!$K$20</f>
        <v>126222045.64753094</v>
      </c>
      <c r="BS31" s="28">
        <f>PROGRAMADO!BS31/'Anexo '!$K$20</f>
        <v>126222045.64753094</v>
      </c>
      <c r="BT31" s="28">
        <f>PROGRAMADO!BT31/'Anexo '!$L$20</f>
        <v>0</v>
      </c>
      <c r="BU31" s="28">
        <f>PROGRAMADO!BU31/'Anexo '!$L$20</f>
        <v>0</v>
      </c>
      <c r="BV31" s="28">
        <f>PROGRAMADO!BV31/'Anexo '!$L$20</f>
        <v>0</v>
      </c>
      <c r="BW31" s="28">
        <f>PROGRAMADO!BW31/'Anexo '!$L$20</f>
        <v>0</v>
      </c>
      <c r="BX31" s="28">
        <f>PROGRAMADO!BX31/'Anexo '!$L$20</f>
        <v>23417574.577786256</v>
      </c>
      <c r="BY31" s="28">
        <f>PROGRAMADO!BY31/'Anexo '!$L$20</f>
        <v>270834657.94663912</v>
      </c>
      <c r="BZ31" s="28">
        <f>PROGRAMADO!BZ31/'Anexo '!$L$20</f>
        <v>294252232.52442539</v>
      </c>
      <c r="CA31" s="28">
        <f>PROGRAMADO!CA31/'Anexo '!$L$20</f>
        <v>294252232.52442539</v>
      </c>
      <c r="CB31" s="28">
        <f>PROGRAMADO!CB31/'Anexo '!$M$20</f>
        <v>0</v>
      </c>
      <c r="CC31" s="28">
        <f>PROGRAMADO!CC31/'Anexo '!$M$20</f>
        <v>100587997.87237114</v>
      </c>
      <c r="CD31" s="28">
        <f>PROGRAMADO!CD31/'Anexo '!$M$20</f>
        <v>0</v>
      </c>
      <c r="CE31" s="28">
        <f>PROGRAMADO!CE31/'Anexo '!$M$20</f>
        <v>100587997.87237114</v>
      </c>
      <c r="CF31" s="28">
        <f>PROGRAMADO!CF31/'Anexo '!$M$20</f>
        <v>17685891.513223954</v>
      </c>
      <c r="CG31" s="28">
        <f>PROGRAMADO!CG31/'Anexo '!$M$20</f>
        <v>193452498.36395249</v>
      </c>
      <c r="CH31" s="28">
        <f>PROGRAMADO!CH31/'Anexo '!$M$20</f>
        <v>211138389.87717646</v>
      </c>
      <c r="CI31" s="29">
        <f>PROGRAMADO!CI31/'Anexo '!$M$20</f>
        <v>311726387.7495476</v>
      </c>
    </row>
    <row r="32" spans="1:87" x14ac:dyDescent="0.25">
      <c r="A32" s="23" t="s">
        <v>22</v>
      </c>
      <c r="B32" s="28">
        <f>PROGRAMADO!B32/'Anexo '!$B$20</f>
        <v>0</v>
      </c>
      <c r="C32" s="28">
        <f>PROGRAMADO!C32/'Anexo '!$B$20</f>
        <v>53891217.951182529</v>
      </c>
      <c r="D32" s="28">
        <f>PROGRAMADO!D32/'Anexo '!$B$20</f>
        <v>53891217.951182529</v>
      </c>
      <c r="E32" s="28">
        <f>PROGRAMADO!E32/'Anexo '!$B$20</f>
        <v>0</v>
      </c>
      <c r="F32" s="28">
        <f>PROGRAMADO!F32/'Anexo '!$B$20</f>
        <v>194560144.31248286</v>
      </c>
      <c r="G32" s="28">
        <f>PROGRAMADO!G32/'Anexo '!$B$20</f>
        <v>194560144.31248286</v>
      </c>
      <c r="H32" s="28">
        <f>PROGRAMADO!H32/'Anexo '!$B$20</f>
        <v>248451362.26366538</v>
      </c>
      <c r="I32" s="28">
        <f>PROGRAMADO!I32/'Anexo '!$C$20</f>
        <v>0</v>
      </c>
      <c r="J32" s="28">
        <f>PROGRAMADO!J32/'Anexo '!$C$20</f>
        <v>52725136.78305617</v>
      </c>
      <c r="K32" s="28">
        <f>PROGRAMADO!K32/'Anexo '!$C$20</f>
        <v>52725136.78305617</v>
      </c>
      <c r="L32" s="28">
        <f>PROGRAMADO!L32/'Anexo '!$C$20</f>
        <v>0</v>
      </c>
      <c r="M32" s="28">
        <f>PROGRAMADO!M32/'Anexo '!$C$20</f>
        <v>182013052.31348783</v>
      </c>
      <c r="N32" s="28">
        <f>PROGRAMADO!N32/'Anexo '!$C$20</f>
        <v>182013052.31348783</v>
      </c>
      <c r="O32" s="28">
        <f>PROGRAMADO!O32/'Anexo '!$C$20</f>
        <v>234738189.096544</v>
      </c>
      <c r="P32" s="28">
        <f>PROGRAMADO!P32/'Anexo '!$D$20</f>
        <v>0</v>
      </c>
      <c r="Q32" s="28">
        <f>PROGRAMADO!Q32/'Anexo '!$D$20</f>
        <v>35492877.946330547</v>
      </c>
      <c r="R32" s="28">
        <f>PROGRAMADO!R32/'Anexo '!$D$20</f>
        <v>35492877.946330547</v>
      </c>
      <c r="S32" s="28">
        <f>PROGRAMADO!S32/'Anexo '!$D$20</f>
        <v>0</v>
      </c>
      <c r="T32" s="28">
        <f>PROGRAMADO!T32/'Anexo '!$D$20</f>
        <v>331348092.66131306</v>
      </c>
      <c r="U32" s="28">
        <f>PROGRAMADO!U32/'Anexo '!$D$20</f>
        <v>331348092.66131306</v>
      </c>
      <c r="V32" s="28">
        <f>PROGRAMADO!V32/'Anexo '!$D$20</f>
        <v>366840970.6076436</v>
      </c>
      <c r="W32" s="28">
        <f>PROGRAMADO!W32/'Anexo '!$E$13</f>
        <v>40113520.211702205</v>
      </c>
      <c r="X32" s="28">
        <f>PROGRAMADO!X32/'Anexo '!$E$13</f>
        <v>36951526.391131878</v>
      </c>
      <c r="Y32" s="28">
        <f>PROGRAMADO!Y32/'Anexo '!$E$13</f>
        <v>77065046.602834091</v>
      </c>
      <c r="Z32" s="28">
        <f>PROGRAMADO!Z32/'Anexo '!$E$13</f>
        <v>0</v>
      </c>
      <c r="AA32" s="28">
        <f>PROGRAMADO!AA32/'Anexo '!$E$13</f>
        <v>208708316.81315622</v>
      </c>
      <c r="AB32" s="28">
        <f>PROGRAMADO!AB32/'Anexo '!$E$13</f>
        <v>208708316.81315622</v>
      </c>
      <c r="AC32" s="28">
        <f>PROGRAMADO!AC32/'Anexo '!$E$13</f>
        <v>285773363.41599029</v>
      </c>
      <c r="AD32" s="28">
        <f>PROGRAMADO!AD32/'Anexo '!$F$20</f>
        <v>0</v>
      </c>
      <c r="AE32" s="28">
        <f>PROGRAMADO!AE32/'Anexo '!$F$20</f>
        <v>38928981.000000007</v>
      </c>
      <c r="AF32" s="28">
        <f>PROGRAMADO!AF32/'Anexo '!$F$20</f>
        <v>38928981.000000007</v>
      </c>
      <c r="AG32" s="28">
        <f>PROGRAMADO!AG32/'Anexo '!$F$20</f>
        <v>2200000.0000000005</v>
      </c>
      <c r="AH32" s="28">
        <f>PROGRAMADO!AH32/'Anexo '!$F$20</f>
        <v>185540207.00000003</v>
      </c>
      <c r="AI32" s="28">
        <f>PROGRAMADO!AI32/'Anexo '!$F$20</f>
        <v>187740207.00000003</v>
      </c>
      <c r="AJ32" s="28">
        <f>PROGRAMADO!AJ32/'Anexo '!$F$20</f>
        <v>226669188.00000006</v>
      </c>
      <c r="AK32" s="28">
        <f>PROGRAMADO!AK32/'Anexo '!$G$20</f>
        <v>0.47500226338637425</v>
      </c>
      <c r="AL32" s="28">
        <f>PROGRAMADO!AL32/'Anexo '!$G$20</f>
        <v>38380182.881619044</v>
      </c>
      <c r="AM32" s="28">
        <f>PROGRAMADO!AM32/'Anexo '!$G$20</f>
        <v>38855185.145005412</v>
      </c>
      <c r="AN32" s="28">
        <f>PROGRAMADO!AN32/'Anexo '!$G$20</f>
        <v>8740041.6463092864</v>
      </c>
      <c r="AO32" s="28">
        <f>PROGRAMADO!AO32/'Anexo '!$G$20</f>
        <v>61312533.104296304</v>
      </c>
      <c r="AP32" s="28">
        <f>PROGRAMADO!AP32/'Anexo '!$G$20</f>
        <v>70052574.750605583</v>
      </c>
      <c r="AQ32" s="28">
        <f>PROGRAMADO!AQ32/'Anexo '!$G$20</f>
        <v>108907759.895611</v>
      </c>
      <c r="AR32" s="28">
        <f>PROGRAMADO!AR32/'Anexo '!$H$20</f>
        <v>40578537.61383348</v>
      </c>
      <c r="AS32" s="28">
        <f>PROGRAMADO!AS32/'Anexo '!$H$20</f>
        <v>35214804.49822998</v>
      </c>
      <c r="AT32" s="28">
        <f>PROGRAMADO!AT32/'Anexo '!$H$20</f>
        <v>75793342.112063468</v>
      </c>
      <c r="AU32" s="28">
        <f>PROGRAMADO!AU32/'Anexo '!$H$20</f>
        <v>12733961.387650244</v>
      </c>
      <c r="AV32" s="28">
        <f>PROGRAMADO!AV32/'Anexo '!$H$20</f>
        <v>90789739.188587621</v>
      </c>
      <c r="AW32" s="28">
        <f>PROGRAMADO!AW32/'Anexo '!$H$20</f>
        <v>103523700.57623786</v>
      </c>
      <c r="AX32" s="28">
        <f>PROGRAMADO!AX32/'Anexo '!$H$20</f>
        <v>179317042.68830132</v>
      </c>
      <c r="AY32" s="28">
        <f>PROGRAMADO!AY32/'Anexo '!$I$20</f>
        <v>52783732.30510588</v>
      </c>
      <c r="AZ32" s="28">
        <f>PROGRAMADO!AZ32/'Anexo '!$I$20</f>
        <v>44093184.043350197</v>
      </c>
      <c r="BA32" s="28">
        <f>PROGRAMADO!BA32/'Anexo '!$I$20</f>
        <v>96876916.34845607</v>
      </c>
      <c r="BB32" s="28">
        <f>PROGRAMADO!BB32/'Anexo '!$I$20</f>
        <v>26128891.110517252</v>
      </c>
      <c r="BC32" s="28">
        <f>PROGRAMADO!BC32/'Anexo '!$I$20</f>
        <v>158949480.02664816</v>
      </c>
      <c r="BD32" s="28">
        <f>PROGRAMADO!BD32/'Anexo '!$I$20</f>
        <v>185078371.1371654</v>
      </c>
      <c r="BE32" s="28">
        <f>PROGRAMADO!BE32/'Anexo '!$I$20</f>
        <v>281955287.48562145</v>
      </c>
      <c r="BF32" s="28">
        <f>PROGRAMADO!BF32/'Anexo '!$J$20</f>
        <v>21271916.513740823</v>
      </c>
      <c r="BG32" s="28">
        <f>PROGRAMADO!BG32/'Anexo '!$J$20</f>
        <v>44731241.473239392</v>
      </c>
      <c r="BH32" s="28">
        <f>PROGRAMADO!BH32/'Anexo '!$J$20</f>
        <v>66003157.986980215</v>
      </c>
      <c r="BI32" s="28">
        <f>PROGRAMADO!BI32/'Anexo '!$J$20</f>
        <v>0</v>
      </c>
      <c r="BJ32" s="28">
        <f>PROGRAMADO!BJ32/'Anexo '!$J$20</f>
        <v>303876451.91188884</v>
      </c>
      <c r="BK32" s="28">
        <f>PROGRAMADO!BK32/'Anexo '!$J$20</f>
        <v>303876451.91188884</v>
      </c>
      <c r="BL32" s="28">
        <f>PROGRAMADO!BL32/'Anexo '!$J$20</f>
        <v>369879609.89886904</v>
      </c>
      <c r="BM32" s="28">
        <f>PROGRAMADO!BM32/'Anexo '!$K$20</f>
        <v>60424201.982416019</v>
      </c>
      <c r="BN32" s="28">
        <f>PROGRAMADO!BN32/'Anexo '!$K$20</f>
        <v>52004271.694568053</v>
      </c>
      <c r="BO32" s="28">
        <f>PROGRAMADO!BO32/'Anexo '!$K$20</f>
        <v>112428473.67698406</v>
      </c>
      <c r="BP32" s="28">
        <f>PROGRAMADO!BP32/'Anexo '!$K$20</f>
        <v>112603677.76522069</v>
      </c>
      <c r="BQ32" s="28">
        <f>PROGRAMADO!BQ32/'Anexo '!$K$20</f>
        <v>337344781.68124467</v>
      </c>
      <c r="BR32" s="28">
        <f>PROGRAMADO!BR32/'Anexo '!$K$20</f>
        <v>449948459.44646537</v>
      </c>
      <c r="BS32" s="28">
        <f>PROGRAMADO!BS32/'Anexo '!$K$20</f>
        <v>562376933.12344944</v>
      </c>
      <c r="BT32" s="28">
        <f>PROGRAMADO!BT32/'Anexo '!$L$20</f>
        <v>32408062.706360649</v>
      </c>
      <c r="BU32" s="28">
        <f>PROGRAMADO!BU32/'Anexo '!$L$20</f>
        <v>60665921.563966453</v>
      </c>
      <c r="BV32" s="28">
        <f>PROGRAMADO!BV32/'Anexo '!$L$20</f>
        <v>0</v>
      </c>
      <c r="BW32" s="28">
        <f>PROGRAMADO!BW32/'Anexo '!$L$20</f>
        <v>93073984.270327106</v>
      </c>
      <c r="BX32" s="28">
        <f>PROGRAMADO!BX32/'Anexo '!$L$20</f>
        <v>25135164.39437297</v>
      </c>
      <c r="BY32" s="28">
        <f>PROGRAMADO!BY32/'Anexo '!$L$20</f>
        <v>437244228.03984624</v>
      </c>
      <c r="BZ32" s="28">
        <f>PROGRAMADO!BZ32/'Anexo '!$L$20</f>
        <v>462379392.43421918</v>
      </c>
      <c r="CA32" s="28">
        <f>PROGRAMADO!CA32/'Anexo '!$L$20</f>
        <v>555453376.70454633</v>
      </c>
      <c r="CB32" s="28">
        <f>PROGRAMADO!CB32/'Anexo '!$M$20</f>
        <v>36108512.056748614</v>
      </c>
      <c r="CC32" s="28">
        <f>PROGRAMADO!CC32/'Anexo '!$M$20</f>
        <v>68068953.587606639</v>
      </c>
      <c r="CD32" s="28">
        <f>PROGRAMADO!CD32/'Anexo '!$M$20</f>
        <v>0</v>
      </c>
      <c r="CE32" s="28">
        <f>PROGRAMADO!CE32/'Anexo '!$M$20</f>
        <v>104177465.64435525</v>
      </c>
      <c r="CF32" s="28">
        <f>PROGRAMADO!CF32/'Anexo '!$M$20</f>
        <v>22941122.321768858</v>
      </c>
      <c r="CG32" s="28">
        <f>PROGRAMADO!CG32/'Anexo '!$M$20</f>
        <v>1052744027.3847007</v>
      </c>
      <c r="CH32" s="28">
        <f>PROGRAMADO!CH32/'Anexo '!$M$20</f>
        <v>1075685149.7064695</v>
      </c>
      <c r="CI32" s="29">
        <f>PROGRAMADO!CI32/'Anexo '!$M$20</f>
        <v>1179862615.3508248</v>
      </c>
    </row>
    <row r="33" spans="1:101" x14ac:dyDescent="0.25">
      <c r="A33" s="23" t="s">
        <v>23</v>
      </c>
      <c r="B33" s="28">
        <f>PROGRAMADO!B33/'Anexo '!$B$20</f>
        <v>0</v>
      </c>
      <c r="C33" s="28">
        <f>PROGRAMADO!C33/'Anexo '!$B$20</f>
        <v>0</v>
      </c>
      <c r="D33" s="28">
        <f>PROGRAMADO!D33/'Anexo '!$B$20</f>
        <v>0</v>
      </c>
      <c r="E33" s="28">
        <f>PROGRAMADO!E33/'Anexo '!$B$20</f>
        <v>0</v>
      </c>
      <c r="F33" s="28">
        <f>PROGRAMADO!F33/'Anexo '!$B$20</f>
        <v>0</v>
      </c>
      <c r="G33" s="28">
        <f>PROGRAMADO!G33/'Anexo '!$B$20</f>
        <v>0</v>
      </c>
      <c r="H33" s="28">
        <f>PROGRAMADO!H33/'Anexo '!$B$20</f>
        <v>0</v>
      </c>
      <c r="I33" s="28">
        <f>PROGRAMADO!I33/'Anexo '!$C$20</f>
        <v>0</v>
      </c>
      <c r="J33" s="28">
        <f>PROGRAMADO!J33/'Anexo '!$C$20</f>
        <v>1444524.2954261964</v>
      </c>
      <c r="K33" s="28">
        <f>PROGRAMADO!K33/'Anexo '!$C$20</f>
        <v>1444524.2954261964</v>
      </c>
      <c r="L33" s="28">
        <f>PROGRAMADO!L33/'Anexo '!$C$20</f>
        <v>11627305.405424813</v>
      </c>
      <c r="M33" s="28">
        <f>PROGRAMADO!M33/'Anexo '!$C$20</f>
        <v>24061267.845998704</v>
      </c>
      <c r="N33" s="28">
        <f>PROGRAMADO!N33/'Anexo '!$C$20</f>
        <v>35688573.251423515</v>
      </c>
      <c r="O33" s="28">
        <f>PROGRAMADO!O33/'Anexo '!$C$20</f>
        <v>37133097.546849713</v>
      </c>
      <c r="P33" s="28">
        <f>PROGRAMADO!P33/'Anexo '!$D$20</f>
        <v>0</v>
      </c>
      <c r="Q33" s="28">
        <f>PROGRAMADO!Q33/'Anexo '!$D$20</f>
        <v>1313913.5436632799</v>
      </c>
      <c r="R33" s="28">
        <f>PROGRAMADO!R33/'Anexo '!$D$20</f>
        <v>1313913.5436632799</v>
      </c>
      <c r="S33" s="28">
        <f>PROGRAMADO!S33/'Anexo '!$D$20</f>
        <v>28488067.169280879</v>
      </c>
      <c r="T33" s="28">
        <f>PROGRAMADO!T33/'Anexo '!$D$20</f>
        <v>21022616.698612478</v>
      </c>
      <c r="U33" s="28">
        <f>PROGRAMADO!U33/'Anexo '!$D$20</f>
        <v>49510683.867893361</v>
      </c>
      <c r="V33" s="28">
        <f>PROGRAMADO!V33/'Anexo '!$D$20</f>
        <v>50824597.411556639</v>
      </c>
      <c r="W33" s="28">
        <f>PROGRAMADO!W33/'Anexo '!$E$13</f>
        <v>0</v>
      </c>
      <c r="X33" s="28">
        <f>PROGRAMADO!X33/'Anexo '!$E$13</f>
        <v>0</v>
      </c>
      <c r="Y33" s="28">
        <f>PROGRAMADO!Y33/'Anexo '!$E$13</f>
        <v>0</v>
      </c>
      <c r="Z33" s="28">
        <f>PROGRAMADO!Z33/'Anexo '!$E$13</f>
        <v>1933986.965357607</v>
      </c>
      <c r="AA33" s="28">
        <f>PROGRAMADO!AA33/'Anexo '!$E$13</f>
        <v>5829608.1625543358</v>
      </c>
      <c r="AB33" s="28">
        <f>PROGRAMADO!AB33/'Anexo '!$E$13</f>
        <v>7763595.127911943</v>
      </c>
      <c r="AC33" s="28">
        <f>PROGRAMADO!AC33/'Anexo '!$E$13</f>
        <v>7763595.127911943</v>
      </c>
      <c r="AD33" s="28">
        <f>PROGRAMADO!AD33/'Anexo '!$F$20</f>
        <v>0</v>
      </c>
      <c r="AE33" s="28">
        <f>PROGRAMADO!AE33/'Anexo '!$F$20</f>
        <v>0</v>
      </c>
      <c r="AF33" s="28">
        <f>PROGRAMADO!AF33/'Anexo '!$F$20</f>
        <v>0</v>
      </c>
      <c r="AG33" s="28">
        <f>PROGRAMADO!AG33/'Anexo '!$F$20</f>
        <v>6909494.0000000019</v>
      </c>
      <c r="AH33" s="28">
        <f>PROGRAMADO!AH33/'Anexo '!$F$20</f>
        <v>42870800.000000007</v>
      </c>
      <c r="AI33" s="28">
        <f>PROGRAMADO!AI33/'Anexo '!$F$20</f>
        <v>49780294.000000007</v>
      </c>
      <c r="AJ33" s="28">
        <f>PROGRAMADO!AJ33/'Anexo '!$F$20</f>
        <v>49780294.000000007</v>
      </c>
      <c r="AK33" s="28">
        <f>PROGRAMADO!AK33/'Anexo '!$G$20</f>
        <v>0</v>
      </c>
      <c r="AL33" s="28">
        <f>PROGRAMADO!AL33/'Anexo '!$G$20</f>
        <v>1900009.0535454971</v>
      </c>
      <c r="AM33" s="28">
        <f>PROGRAMADO!AM33/'Anexo '!$G$20</f>
        <v>1900009.0535454971</v>
      </c>
      <c r="AN33" s="28">
        <f>PROGRAMADO!AN33/'Anexo '!$G$20</f>
        <v>2110294.4555556984</v>
      </c>
      <c r="AO33" s="28">
        <f>PROGRAMADO!AO33/'Anexo '!$G$20</f>
        <v>48220206.269342691</v>
      </c>
      <c r="AP33" s="28">
        <f>PROGRAMADO!AP33/'Anexo '!$G$20</f>
        <v>50330500.72489839</v>
      </c>
      <c r="AQ33" s="28">
        <f>PROGRAMADO!AQ33/'Anexo '!$G$20</f>
        <v>52230509.778443888</v>
      </c>
      <c r="AR33" s="28">
        <f>PROGRAMADO!AR33/'Anexo '!$H$20</f>
        <v>0</v>
      </c>
      <c r="AS33" s="28">
        <f>PROGRAMADO!AS33/'Anexo '!$H$20</f>
        <v>0</v>
      </c>
      <c r="AT33" s="28">
        <f>PROGRAMADO!AT33/'Anexo '!$H$20</f>
        <v>0</v>
      </c>
      <c r="AU33" s="28">
        <f>PROGRAMADO!AU33/'Anexo '!$H$20</f>
        <v>0</v>
      </c>
      <c r="AV33" s="28">
        <f>PROGRAMADO!AV33/'Anexo '!$H$20</f>
        <v>18141509.426391415</v>
      </c>
      <c r="AW33" s="28">
        <f>PROGRAMADO!AW33/'Anexo '!$H$20</f>
        <v>18141509.426391415</v>
      </c>
      <c r="AX33" s="28">
        <f>PROGRAMADO!AX33/'Anexo '!$H$20</f>
        <v>18141509.426391415</v>
      </c>
      <c r="AY33" s="28">
        <f>PROGRAMADO!AY33/'Anexo '!$I$20</f>
        <v>0</v>
      </c>
      <c r="AZ33" s="28">
        <f>PROGRAMADO!AZ33/'Anexo '!$I$20</f>
        <v>0</v>
      </c>
      <c r="BA33" s="28">
        <f>PROGRAMADO!BA33/'Anexo '!$I$20</f>
        <v>0</v>
      </c>
      <c r="BB33" s="28">
        <f>PROGRAMADO!BB33/'Anexo '!$I$20</f>
        <v>0</v>
      </c>
      <c r="BC33" s="28">
        <f>PROGRAMADO!BC33/'Anexo '!$I$20</f>
        <v>0</v>
      </c>
      <c r="BD33" s="28">
        <f>PROGRAMADO!BD33/'Anexo '!$I$20</f>
        <v>0</v>
      </c>
      <c r="BE33" s="28">
        <f>PROGRAMADO!BE33/'Anexo '!$I$20</f>
        <v>0</v>
      </c>
      <c r="BF33" s="28">
        <f>PROGRAMADO!BF33/'Anexo '!$J$20</f>
        <v>0</v>
      </c>
      <c r="BG33" s="28">
        <f>PROGRAMADO!BG33/'Anexo '!$J$20</f>
        <v>0</v>
      </c>
      <c r="BH33" s="28">
        <f>PROGRAMADO!BH33/'Anexo '!$J$20</f>
        <v>0</v>
      </c>
      <c r="BI33" s="28">
        <f>PROGRAMADO!BI33/'Anexo '!$J$20</f>
        <v>0</v>
      </c>
      <c r="BJ33" s="28">
        <f>PROGRAMADO!BJ33/'Anexo '!$J$20</f>
        <v>0</v>
      </c>
      <c r="BK33" s="28">
        <f>PROGRAMADO!BK33/'Anexo '!$J$20</f>
        <v>0</v>
      </c>
      <c r="BL33" s="28">
        <f>PROGRAMADO!BL33/'Anexo '!$J$20</f>
        <v>0</v>
      </c>
      <c r="BM33" s="28">
        <f>PROGRAMADO!BM33/'Anexo '!$K$20</f>
        <v>0</v>
      </c>
      <c r="BN33" s="28">
        <f>PROGRAMADO!BN33/'Anexo '!$K$20</f>
        <v>0</v>
      </c>
      <c r="BO33" s="28">
        <f>PROGRAMADO!BO33/'Anexo '!$K$20</f>
        <v>0</v>
      </c>
      <c r="BP33" s="28">
        <f>PROGRAMADO!BP33/'Anexo '!$K$20</f>
        <v>0</v>
      </c>
      <c r="BQ33" s="28">
        <f>PROGRAMADO!BQ33/'Anexo '!$K$20</f>
        <v>0</v>
      </c>
      <c r="BR33" s="28">
        <f>PROGRAMADO!BR33/'Anexo '!$K$20</f>
        <v>0</v>
      </c>
      <c r="BS33" s="28">
        <f>PROGRAMADO!BS33/'Anexo '!$K$20</f>
        <v>0</v>
      </c>
      <c r="BT33" s="28">
        <f>PROGRAMADO!BT33/'Anexo '!$L$20</f>
        <v>0</v>
      </c>
      <c r="BU33" s="28">
        <f>PROGRAMADO!BU33/'Anexo '!$L$20</f>
        <v>0</v>
      </c>
      <c r="BV33" s="28">
        <f>PROGRAMADO!BV33/'Anexo '!$L$20</f>
        <v>0</v>
      </c>
      <c r="BW33" s="28">
        <f>PROGRAMADO!BW33/'Anexo '!$L$20</f>
        <v>0</v>
      </c>
      <c r="BX33" s="28">
        <f>PROGRAMADO!BX33/'Anexo '!$L$20</f>
        <v>0</v>
      </c>
      <c r="BY33" s="28">
        <f>PROGRAMADO!BY33/'Anexo '!$L$20</f>
        <v>0</v>
      </c>
      <c r="BZ33" s="28">
        <f>PROGRAMADO!BZ33/'Anexo '!$L$20</f>
        <v>0</v>
      </c>
      <c r="CA33" s="28">
        <f>PROGRAMADO!CA33/'Anexo '!$L$20</f>
        <v>0</v>
      </c>
      <c r="CB33" s="28">
        <f>PROGRAMADO!CB33/'Anexo '!$M$20</f>
        <v>0</v>
      </c>
      <c r="CC33" s="28">
        <f>PROGRAMADO!CC33/'Anexo '!$M$20</f>
        <v>0</v>
      </c>
      <c r="CD33" s="28">
        <f>PROGRAMADO!CD33/'Anexo '!$M$20</f>
        <v>0</v>
      </c>
      <c r="CE33" s="28">
        <f>PROGRAMADO!CE33/'Anexo '!$M$20</f>
        <v>0</v>
      </c>
      <c r="CF33" s="28">
        <f>PROGRAMADO!CF33/'Anexo '!$M$20</f>
        <v>0</v>
      </c>
      <c r="CG33" s="28">
        <f>PROGRAMADO!CG33/'Anexo '!$M$20</f>
        <v>0</v>
      </c>
      <c r="CH33" s="28">
        <f>PROGRAMADO!CH33/'Anexo '!$M$20</f>
        <v>0</v>
      </c>
      <c r="CI33" s="29">
        <f>PROGRAMADO!CI33/'Anexo '!$M$20</f>
        <v>0</v>
      </c>
    </row>
    <row r="34" spans="1:101" x14ac:dyDescent="0.25">
      <c r="A34" s="23" t="s">
        <v>24</v>
      </c>
      <c r="B34" s="28">
        <f>PROGRAMADO!B34/'Anexo '!$B$20</f>
        <v>0</v>
      </c>
      <c r="C34" s="28">
        <f>PROGRAMADO!C34/'Anexo '!$B$20</f>
        <v>0</v>
      </c>
      <c r="D34" s="28">
        <f>PROGRAMADO!D34/'Anexo '!$B$20</f>
        <v>0</v>
      </c>
      <c r="E34" s="28">
        <f>PROGRAMADO!E34/'Anexo '!$B$20</f>
        <v>0</v>
      </c>
      <c r="F34" s="28">
        <f>PROGRAMADO!F34/'Anexo '!$B$20</f>
        <v>0</v>
      </c>
      <c r="G34" s="28">
        <f>PROGRAMADO!G34/'Anexo '!$B$20</f>
        <v>0</v>
      </c>
      <c r="H34" s="28">
        <f>PROGRAMADO!H34/'Anexo '!$B$20</f>
        <v>0</v>
      </c>
      <c r="I34" s="28">
        <f>PROGRAMADO!I34/'Anexo '!$C$20</f>
        <v>0</v>
      </c>
      <c r="J34" s="28">
        <f>PROGRAMADO!J34/'Anexo '!$C$20</f>
        <v>5778097.1817047857</v>
      </c>
      <c r="K34" s="28">
        <f>PROGRAMADO!K34/'Anexo '!$C$20</f>
        <v>5778097.1817047857</v>
      </c>
      <c r="L34" s="28">
        <f>PROGRAMADO!L34/'Anexo '!$C$20</f>
        <v>0</v>
      </c>
      <c r="M34" s="28">
        <f>PROGRAMADO!M34/'Anexo '!$C$20</f>
        <v>44700980.192796618</v>
      </c>
      <c r="N34" s="28">
        <f>PROGRAMADO!N34/'Anexo '!$C$20</f>
        <v>44700980.192796618</v>
      </c>
      <c r="O34" s="28">
        <f>PROGRAMADO!O34/'Anexo '!$C$20</f>
        <v>50479077.374501407</v>
      </c>
      <c r="P34" s="28">
        <f>PROGRAMADO!P34/'Anexo '!$D$20</f>
        <v>0</v>
      </c>
      <c r="Q34" s="28">
        <f>PROGRAMADO!Q34/'Anexo '!$D$20</f>
        <v>6913730.2902029278</v>
      </c>
      <c r="R34" s="28">
        <f>PROGRAMADO!R34/'Anexo '!$D$20</f>
        <v>6913730.2902029278</v>
      </c>
      <c r="S34" s="28">
        <f>PROGRAMADO!S34/'Anexo '!$D$20</f>
        <v>0</v>
      </c>
      <c r="T34" s="28">
        <f>PROGRAMADO!T34/'Anexo '!$D$20</f>
        <v>47250224.379547961</v>
      </c>
      <c r="U34" s="28">
        <f>PROGRAMADO!U34/'Anexo '!$D$20</f>
        <v>47250224.379547961</v>
      </c>
      <c r="V34" s="28">
        <f>PROGRAMADO!V34/'Anexo '!$D$20</f>
        <v>54163954.669750892</v>
      </c>
      <c r="W34" s="28">
        <f>PROGRAMADO!W34/'Anexo '!$E$13</f>
        <v>0</v>
      </c>
      <c r="X34" s="28">
        <f>PROGRAMADO!X34/'Anexo '!$E$13</f>
        <v>17767879.184990041</v>
      </c>
      <c r="Y34" s="28">
        <f>PROGRAMADO!Y34/'Anexo '!$E$13</f>
        <v>17767879.184990041</v>
      </c>
      <c r="Z34" s="28">
        <f>PROGRAMADO!Z34/'Anexo '!$E$13</f>
        <v>0</v>
      </c>
      <c r="AA34" s="28">
        <f>PROGRAMADO!AA34/'Anexo '!$E$13</f>
        <v>39326328.208128303</v>
      </c>
      <c r="AB34" s="28">
        <f>PROGRAMADO!AB34/'Anexo '!$E$13</f>
        <v>39326328.208128303</v>
      </c>
      <c r="AC34" s="28">
        <f>PROGRAMADO!AC34/'Anexo '!$E$13</f>
        <v>57094207.393118344</v>
      </c>
      <c r="AD34" s="28">
        <f>PROGRAMADO!AD34/'Anexo '!$F$20</f>
        <v>0</v>
      </c>
      <c r="AE34" s="28">
        <f>PROGRAMADO!AE34/'Anexo '!$F$20</f>
        <v>19500000.000000004</v>
      </c>
      <c r="AF34" s="28">
        <f>PROGRAMADO!AF34/'Anexo '!$F$20</f>
        <v>19500000.000000004</v>
      </c>
      <c r="AG34" s="28">
        <f>PROGRAMADO!AG34/'Anexo '!$F$20</f>
        <v>396593.00000000012</v>
      </c>
      <c r="AH34" s="28">
        <f>PROGRAMADO!AH34/'Anexo '!$F$20</f>
        <v>155275539.00000003</v>
      </c>
      <c r="AI34" s="28">
        <f>PROGRAMADO!AI34/'Anexo '!$F$20</f>
        <v>155672132.00000003</v>
      </c>
      <c r="AJ34" s="28">
        <f>PROGRAMADO!AJ34/'Anexo '!$F$20</f>
        <v>175172132.00000003</v>
      </c>
      <c r="AK34" s="28">
        <f>PROGRAMADO!AK34/'Anexo '!$G$20</f>
        <v>0</v>
      </c>
      <c r="AL34" s="28">
        <f>PROGRAMADO!AL34/'Anexo '!$G$20</f>
        <v>18316756.07936544</v>
      </c>
      <c r="AM34" s="28">
        <f>PROGRAMADO!AM34/'Anexo '!$G$20</f>
        <v>18316756.07936544</v>
      </c>
      <c r="AN34" s="28">
        <f>PROGRAMADO!AN34/'Anexo '!$G$20</f>
        <v>0</v>
      </c>
      <c r="AO34" s="28">
        <f>PROGRAMADO!AO34/'Anexo '!$G$20</f>
        <v>148288117.04306164</v>
      </c>
      <c r="AP34" s="28">
        <f>PROGRAMADO!AP34/'Anexo '!$G$20</f>
        <v>148288117.04306164</v>
      </c>
      <c r="AQ34" s="28">
        <f>PROGRAMADO!AQ34/'Anexo '!$G$20</f>
        <v>166604873.12242711</v>
      </c>
      <c r="AR34" s="28">
        <f>PROGRAMADO!AR34/'Anexo '!$H$20</f>
        <v>0</v>
      </c>
      <c r="AS34" s="28">
        <f>PROGRAMADO!AS34/'Anexo '!$H$20</f>
        <v>0</v>
      </c>
      <c r="AT34" s="28">
        <f>PROGRAMADO!AT34/'Anexo '!$H$20</f>
        <v>0</v>
      </c>
      <c r="AU34" s="28">
        <f>PROGRAMADO!AU34/'Anexo '!$H$20</f>
        <v>0</v>
      </c>
      <c r="AV34" s="28">
        <f>PROGRAMADO!AV34/'Anexo '!$H$20</f>
        <v>2085876.3499177173</v>
      </c>
      <c r="AW34" s="28">
        <f>PROGRAMADO!AW34/'Anexo '!$H$20</f>
        <v>2085876.3499177173</v>
      </c>
      <c r="AX34" s="28">
        <f>PROGRAMADO!AX34/'Anexo '!$H$20</f>
        <v>2085876.3499177173</v>
      </c>
      <c r="AY34" s="28">
        <f>PROGRAMADO!AY34/'Anexo '!$I$20</f>
        <v>0</v>
      </c>
      <c r="AZ34" s="28">
        <f>PROGRAMADO!AZ34/'Anexo '!$I$20</f>
        <v>0</v>
      </c>
      <c r="BA34" s="28">
        <f>PROGRAMADO!BA34/'Anexo '!$I$20</f>
        <v>0</v>
      </c>
      <c r="BB34" s="28">
        <f>PROGRAMADO!BB34/'Anexo '!$I$20</f>
        <v>0</v>
      </c>
      <c r="BC34" s="28">
        <f>PROGRAMADO!BC34/'Anexo '!$I$20</f>
        <v>5104173.5957977129</v>
      </c>
      <c r="BD34" s="28">
        <f>PROGRAMADO!BD34/'Anexo '!$I$20</f>
        <v>5104173.5957977129</v>
      </c>
      <c r="BE34" s="28">
        <f>PROGRAMADO!BE34/'Anexo '!$I$20</f>
        <v>5104173.5957977129</v>
      </c>
      <c r="BF34" s="28">
        <f>PROGRAMADO!BF34/'Anexo '!$J$20</f>
        <v>0</v>
      </c>
      <c r="BG34" s="28">
        <f>PROGRAMADO!BG34/'Anexo '!$J$20</f>
        <v>0</v>
      </c>
      <c r="BH34" s="28">
        <f>PROGRAMADO!BH34/'Anexo '!$J$20</f>
        <v>0</v>
      </c>
      <c r="BI34" s="28">
        <f>PROGRAMADO!BI34/'Anexo '!$J$20</f>
        <v>0</v>
      </c>
      <c r="BJ34" s="28">
        <f>PROGRAMADO!BJ34/'Anexo '!$J$20</f>
        <v>4729255.0049170395</v>
      </c>
      <c r="BK34" s="28">
        <f>PROGRAMADO!BK34/'Anexo '!$J$20</f>
        <v>4729255.0049170395</v>
      </c>
      <c r="BL34" s="28">
        <f>PROGRAMADO!BL34/'Anexo '!$J$20</f>
        <v>4729255.0049170395</v>
      </c>
      <c r="BM34" s="28">
        <f>PROGRAMADO!BM34/'Anexo '!$K$20</f>
        <v>0</v>
      </c>
      <c r="BN34" s="28">
        <f>PROGRAMADO!BN34/'Anexo '!$K$20</f>
        <v>0</v>
      </c>
      <c r="BO34" s="28">
        <f>PROGRAMADO!BO34/'Anexo '!$K$20</f>
        <v>0</v>
      </c>
      <c r="BP34" s="28">
        <f>PROGRAMADO!BP34/'Anexo '!$K$20</f>
        <v>0</v>
      </c>
      <c r="BQ34" s="28">
        <f>PROGRAMADO!BQ34/'Anexo '!$K$20</f>
        <v>0</v>
      </c>
      <c r="BR34" s="28">
        <f>PROGRAMADO!BR34/'Anexo '!$K$20</f>
        <v>0</v>
      </c>
      <c r="BS34" s="28">
        <f>PROGRAMADO!BS34/'Anexo '!$K$20</f>
        <v>0</v>
      </c>
      <c r="BT34" s="28">
        <f>PROGRAMADO!BT34/'Anexo '!$L$20</f>
        <v>0</v>
      </c>
      <c r="BU34" s="28">
        <f>PROGRAMADO!BU34/'Anexo '!$L$20</f>
        <v>0</v>
      </c>
      <c r="BV34" s="28">
        <f>PROGRAMADO!BV34/'Anexo '!$L$20</f>
        <v>0</v>
      </c>
      <c r="BW34" s="28">
        <f>PROGRAMADO!BW34/'Anexo '!$L$20</f>
        <v>0</v>
      </c>
      <c r="BX34" s="28">
        <f>PROGRAMADO!BX34/'Anexo '!$L$20</f>
        <v>0</v>
      </c>
      <c r="BY34" s="28">
        <f>PROGRAMADO!BY34/'Anexo '!$L$20</f>
        <v>0</v>
      </c>
      <c r="BZ34" s="28">
        <f>PROGRAMADO!BZ34/'Anexo '!$L$20</f>
        <v>0</v>
      </c>
      <c r="CA34" s="28">
        <f>PROGRAMADO!CA34/'Anexo '!$L$20</f>
        <v>0</v>
      </c>
      <c r="CB34" s="28">
        <f>PROGRAMADO!CB34/'Anexo '!$M$20</f>
        <v>0</v>
      </c>
      <c r="CC34" s="28">
        <f>PROGRAMADO!CC34/'Anexo '!$M$20</f>
        <v>0</v>
      </c>
      <c r="CD34" s="28">
        <f>PROGRAMADO!CD34/'Anexo '!$M$20</f>
        <v>0</v>
      </c>
      <c r="CE34" s="28">
        <f>PROGRAMADO!CE34/'Anexo '!$M$20</f>
        <v>0</v>
      </c>
      <c r="CF34" s="28">
        <f>PROGRAMADO!CF34/'Anexo '!$M$20</f>
        <v>0</v>
      </c>
      <c r="CG34" s="28">
        <f>PROGRAMADO!CG34/'Anexo '!$M$20</f>
        <v>0</v>
      </c>
      <c r="CH34" s="28">
        <f>PROGRAMADO!CH34/'Anexo '!$M$20</f>
        <v>0</v>
      </c>
      <c r="CI34" s="29">
        <f>PROGRAMADO!CI34/'Anexo '!$M$20</f>
        <v>0</v>
      </c>
    </row>
    <row r="35" spans="1:101" x14ac:dyDescent="0.25">
      <c r="A35" s="23" t="s">
        <v>68</v>
      </c>
      <c r="B35" s="28">
        <f>PROGRAMADO!B35/'Anexo '!$B$20</f>
        <v>0</v>
      </c>
      <c r="C35" s="28">
        <f>PROGRAMADO!C35/'Anexo '!$B$20</f>
        <v>548150.51740330877</v>
      </c>
      <c r="D35" s="28">
        <f>PROGRAMADO!D35/'Anexo '!$B$20</f>
        <v>548150.51740330877</v>
      </c>
      <c r="E35" s="28">
        <f>PROGRAMADO!E35/'Anexo '!$B$20</f>
        <v>9183060.9151498135</v>
      </c>
      <c r="F35" s="28">
        <f>PROGRAMADO!F35/'Anexo '!$B$20</f>
        <v>57434010.209576063</v>
      </c>
      <c r="G35" s="28">
        <f>PROGRAMADO!G35/'Anexo '!$B$20</f>
        <v>66617071.124725878</v>
      </c>
      <c r="H35" s="28">
        <f>PROGRAMADO!H35/'Anexo '!$B$20</f>
        <v>67165221.642129183</v>
      </c>
      <c r="I35" s="28">
        <f>PROGRAMADO!I35/'Anexo '!$C$20</f>
        <v>0</v>
      </c>
      <c r="J35" s="28">
        <f>PROGRAMADO!J35/'Anexo '!$C$20</f>
        <v>12131809.098022666</v>
      </c>
      <c r="K35" s="28">
        <f>PROGRAMADO!K35/'Anexo '!$C$20</f>
        <v>12131809.098022666</v>
      </c>
      <c r="L35" s="28">
        <f>PROGRAMADO!L35/'Anexo '!$C$20</f>
        <v>0</v>
      </c>
      <c r="M35" s="28">
        <f>PROGRAMADO!M35/'Anexo '!$C$20</f>
        <v>67378853.48363404</v>
      </c>
      <c r="N35" s="28">
        <f>PROGRAMADO!N35/'Anexo '!$C$20</f>
        <v>67378853.48363404</v>
      </c>
      <c r="O35" s="28">
        <f>PROGRAMADO!O35/'Anexo '!$C$20</f>
        <v>79510662.581656709</v>
      </c>
      <c r="P35" s="28">
        <f>PROGRAMADO!P35/'Anexo '!$D$20</f>
        <v>0</v>
      </c>
      <c r="Q35" s="28">
        <f>PROGRAMADO!Q35/'Anexo '!$D$20</f>
        <v>3870526.5169232897</v>
      </c>
      <c r="R35" s="28">
        <f>PROGRAMADO!R35/'Anexo '!$D$20</f>
        <v>3870526.5169232897</v>
      </c>
      <c r="S35" s="28">
        <f>PROGRAMADO!S35/'Anexo '!$D$20</f>
        <v>0</v>
      </c>
      <c r="T35" s="28">
        <f>PROGRAMADO!T35/'Anexo '!$D$20</f>
        <v>18380294.517072227</v>
      </c>
      <c r="U35" s="28">
        <f>PROGRAMADO!U35/'Anexo '!$D$20</f>
        <v>18380294.517072227</v>
      </c>
      <c r="V35" s="28">
        <f>PROGRAMADO!V35/'Anexo '!$D$20</f>
        <v>22250821.033995517</v>
      </c>
      <c r="W35" s="28">
        <f>PROGRAMADO!W35/'Anexo '!$E$13</f>
        <v>0</v>
      </c>
      <c r="X35" s="28">
        <f>PROGRAMADO!X35/'Anexo '!$E$13</f>
        <v>0</v>
      </c>
      <c r="Y35" s="28">
        <f>PROGRAMADO!Y35/'Anexo '!$E$13</f>
        <v>0</v>
      </c>
      <c r="Z35" s="28">
        <f>PROGRAMADO!Z35/'Anexo '!$E$13</f>
        <v>0</v>
      </c>
      <c r="AA35" s="28">
        <f>PROGRAMADO!AA35/'Anexo '!$E$13</f>
        <v>0</v>
      </c>
      <c r="AB35" s="28">
        <f>PROGRAMADO!AB35/'Anexo '!$E$13</f>
        <v>0</v>
      </c>
      <c r="AC35" s="28">
        <f>PROGRAMADO!AC35/'Anexo '!$E$13</f>
        <v>0</v>
      </c>
      <c r="AD35" s="28">
        <f>PROGRAMADO!AD35/'Anexo '!$F$20</f>
        <v>0</v>
      </c>
      <c r="AE35" s="28">
        <f>PROGRAMADO!AE35/'Anexo '!$F$20</f>
        <v>0</v>
      </c>
      <c r="AF35" s="28">
        <f>PROGRAMADO!AF35/'Anexo '!$F$20</f>
        <v>0</v>
      </c>
      <c r="AG35" s="28">
        <f>PROGRAMADO!AG35/'Anexo '!$F$20</f>
        <v>0</v>
      </c>
      <c r="AH35" s="28">
        <f>PROGRAMADO!AH35/'Anexo '!$F$20</f>
        <v>0</v>
      </c>
      <c r="AI35" s="28">
        <f>PROGRAMADO!AI35/'Anexo '!$F$20</f>
        <v>0</v>
      </c>
      <c r="AJ35" s="28">
        <f>PROGRAMADO!AJ35/'Anexo '!$F$20</f>
        <v>0</v>
      </c>
      <c r="AK35" s="28">
        <f>PROGRAMADO!AK35/'Anexo '!$G$20</f>
        <v>0</v>
      </c>
      <c r="AL35" s="28">
        <f>PROGRAMADO!AL35/'Anexo '!$G$20</f>
        <v>0</v>
      </c>
      <c r="AM35" s="28">
        <f>PROGRAMADO!AM35/'Anexo '!$G$20</f>
        <v>0</v>
      </c>
      <c r="AN35" s="28">
        <f>PROGRAMADO!AN35/'Anexo '!$G$20</f>
        <v>0</v>
      </c>
      <c r="AO35" s="28">
        <f>PROGRAMADO!AO35/'Anexo '!$G$20</f>
        <v>0</v>
      </c>
      <c r="AP35" s="28">
        <f>PROGRAMADO!AP35/'Anexo '!$G$20</f>
        <v>0</v>
      </c>
      <c r="AQ35" s="28">
        <f>PROGRAMADO!AQ35/'Anexo '!$G$20</f>
        <v>0</v>
      </c>
      <c r="AR35" s="28">
        <f>PROGRAMADO!AR35/'Anexo '!$H$20</f>
        <v>0</v>
      </c>
      <c r="AS35" s="28">
        <f>PROGRAMADO!AS35/'Anexo '!$H$20</f>
        <v>0</v>
      </c>
      <c r="AT35" s="28">
        <f>PROGRAMADO!AT35/'Anexo '!$H$20</f>
        <v>0</v>
      </c>
      <c r="AU35" s="28">
        <f>PROGRAMADO!AU35/'Anexo '!$H$20</f>
        <v>0</v>
      </c>
      <c r="AV35" s="28">
        <f>PROGRAMADO!AV35/'Anexo '!$H$20</f>
        <v>0</v>
      </c>
      <c r="AW35" s="28">
        <f>PROGRAMADO!AW35/'Anexo '!$H$20</f>
        <v>0</v>
      </c>
      <c r="AX35" s="28">
        <f>PROGRAMADO!AX35/'Anexo '!$H$20</f>
        <v>0</v>
      </c>
      <c r="AY35" s="28">
        <f>PROGRAMADO!AY35/'Anexo '!$I$20</f>
        <v>0</v>
      </c>
      <c r="AZ35" s="28">
        <f>PROGRAMADO!AZ35/'Anexo '!$I$20</f>
        <v>0</v>
      </c>
      <c r="BA35" s="28">
        <f>PROGRAMADO!BA35/'Anexo '!$I$20</f>
        <v>0</v>
      </c>
      <c r="BB35" s="28">
        <f>PROGRAMADO!BB35/'Anexo '!$I$20</f>
        <v>0</v>
      </c>
      <c r="BC35" s="28">
        <f>PROGRAMADO!BC35/'Anexo '!$I$20</f>
        <v>0</v>
      </c>
      <c r="BD35" s="28">
        <f>PROGRAMADO!BD35/'Anexo '!$I$20</f>
        <v>0</v>
      </c>
      <c r="BE35" s="28">
        <f>PROGRAMADO!BE35/'Anexo '!$I$20</f>
        <v>0</v>
      </c>
      <c r="BF35" s="28">
        <f>PROGRAMADO!BF35/'Anexo '!$J$20</f>
        <v>0</v>
      </c>
      <c r="BG35" s="28">
        <f>PROGRAMADO!BG35/'Anexo '!$J$20</f>
        <v>0</v>
      </c>
      <c r="BH35" s="28">
        <f>PROGRAMADO!BH35/'Anexo '!$J$20</f>
        <v>0</v>
      </c>
      <c r="BI35" s="28">
        <f>PROGRAMADO!BI35/'Anexo '!$J$20</f>
        <v>0</v>
      </c>
      <c r="BJ35" s="28">
        <f>PROGRAMADO!BJ35/'Anexo '!$J$20</f>
        <v>0</v>
      </c>
      <c r="BK35" s="28">
        <f>PROGRAMADO!BK35/'Anexo '!$J$20</f>
        <v>0</v>
      </c>
      <c r="BL35" s="28">
        <f>PROGRAMADO!BL35/'Anexo '!$J$20</f>
        <v>0</v>
      </c>
      <c r="BM35" s="28">
        <f>PROGRAMADO!BM35/'Anexo '!$K$20</f>
        <v>0</v>
      </c>
      <c r="BN35" s="28">
        <f>PROGRAMADO!BN35/'Anexo '!$K$20</f>
        <v>0</v>
      </c>
      <c r="BO35" s="28">
        <f>PROGRAMADO!BO35/'Anexo '!$K$20</f>
        <v>0</v>
      </c>
      <c r="BP35" s="28">
        <f>PROGRAMADO!BP35/'Anexo '!$K$20</f>
        <v>0</v>
      </c>
      <c r="BQ35" s="28">
        <f>PROGRAMADO!BQ35/'Anexo '!$K$20</f>
        <v>0</v>
      </c>
      <c r="BR35" s="28">
        <f>PROGRAMADO!BR35/'Anexo '!$K$20</f>
        <v>0</v>
      </c>
      <c r="BS35" s="28">
        <f>PROGRAMADO!BS35/'Anexo '!$K$20</f>
        <v>0</v>
      </c>
      <c r="BT35" s="28">
        <f>PROGRAMADO!BT35/'Anexo '!$L$20</f>
        <v>0</v>
      </c>
      <c r="BU35" s="28">
        <f>PROGRAMADO!BU35/'Anexo '!$L$20</f>
        <v>0</v>
      </c>
      <c r="BV35" s="28">
        <f>PROGRAMADO!BV35/'Anexo '!$L$20</f>
        <v>0</v>
      </c>
      <c r="BW35" s="28">
        <f>PROGRAMADO!BW35/'Anexo '!$L$20</f>
        <v>0</v>
      </c>
      <c r="BX35" s="28">
        <f>PROGRAMADO!BX35/'Anexo '!$L$20</f>
        <v>0</v>
      </c>
      <c r="BY35" s="28">
        <f>PROGRAMADO!BY35/'Anexo '!$L$20</f>
        <v>0</v>
      </c>
      <c r="BZ35" s="28">
        <f>PROGRAMADO!BZ35/'Anexo '!$L$20</f>
        <v>0</v>
      </c>
      <c r="CA35" s="28">
        <f>PROGRAMADO!CA35/'Anexo '!$L$20</f>
        <v>0</v>
      </c>
      <c r="CB35" s="28">
        <f>PROGRAMADO!CB35/'Anexo '!$M$20</f>
        <v>0</v>
      </c>
      <c r="CC35" s="28">
        <f>PROGRAMADO!CC35/'Anexo '!$M$20</f>
        <v>0</v>
      </c>
      <c r="CD35" s="28">
        <f>PROGRAMADO!CD35/'Anexo '!$M$20</f>
        <v>0</v>
      </c>
      <c r="CE35" s="28">
        <f>PROGRAMADO!CE35/'Anexo '!$M$20</f>
        <v>0</v>
      </c>
      <c r="CF35" s="28">
        <f>PROGRAMADO!CF35/'Anexo '!$M$20</f>
        <v>0</v>
      </c>
      <c r="CG35" s="28">
        <f>PROGRAMADO!CG35/'Anexo '!$M$20</f>
        <v>0</v>
      </c>
      <c r="CH35" s="28">
        <f>PROGRAMADO!CH35/'Anexo '!$M$20</f>
        <v>0</v>
      </c>
      <c r="CI35" s="29">
        <f>PROGRAMADO!CI35/'Anexo '!$M$20</f>
        <v>0</v>
      </c>
    </row>
    <row r="36" spans="1:101" x14ac:dyDescent="0.25">
      <c r="A36" s="23" t="s">
        <v>69</v>
      </c>
      <c r="B36" s="28">
        <f>PROGRAMADO!B36/'Anexo '!$B$20</f>
        <v>0</v>
      </c>
      <c r="C36" s="28">
        <f>PROGRAMADO!C36/'Anexo '!$B$20</f>
        <v>0</v>
      </c>
      <c r="D36" s="28">
        <f>PROGRAMADO!D36/'Anexo '!$B$20</f>
        <v>0</v>
      </c>
      <c r="E36" s="28">
        <f>PROGRAMADO!E36/'Anexo '!$B$20</f>
        <v>0</v>
      </c>
      <c r="F36" s="28">
        <f>PROGRAMADO!F36/'Anexo '!$B$20</f>
        <v>0</v>
      </c>
      <c r="G36" s="28">
        <f>PROGRAMADO!G36/'Anexo '!$B$20</f>
        <v>0</v>
      </c>
      <c r="H36" s="28">
        <f>PROGRAMADO!H36/'Anexo '!$B$20</f>
        <v>0</v>
      </c>
      <c r="I36" s="28">
        <f>PROGRAMADO!I36/'Anexo '!$C$20</f>
        <v>0</v>
      </c>
      <c r="J36" s="28">
        <f>PROGRAMADO!J36/'Anexo '!$C$20</f>
        <v>0</v>
      </c>
      <c r="K36" s="28">
        <f>PROGRAMADO!K36/'Anexo '!$C$20</f>
        <v>0</v>
      </c>
      <c r="L36" s="28">
        <f>PROGRAMADO!L36/'Anexo '!$C$20</f>
        <v>0</v>
      </c>
      <c r="M36" s="28">
        <f>PROGRAMADO!M36/'Anexo '!$C$20</f>
        <v>0</v>
      </c>
      <c r="N36" s="28">
        <f>PROGRAMADO!N36/'Anexo '!$C$20</f>
        <v>0</v>
      </c>
      <c r="O36" s="28">
        <f>PROGRAMADO!O36/'Anexo '!$C$20</f>
        <v>0</v>
      </c>
      <c r="P36" s="28">
        <f>PROGRAMADO!P36/'Anexo '!$D$20</f>
        <v>0</v>
      </c>
      <c r="Q36" s="28">
        <f>PROGRAMADO!Q36/'Anexo '!$D$20</f>
        <v>0</v>
      </c>
      <c r="R36" s="28">
        <f>PROGRAMADO!R36/'Anexo '!$D$20</f>
        <v>0</v>
      </c>
      <c r="S36" s="28">
        <f>PROGRAMADO!S36/'Anexo '!$D$20</f>
        <v>0</v>
      </c>
      <c r="T36" s="28">
        <f>PROGRAMADO!T36/'Anexo '!$D$20</f>
        <v>1313913.5436632799</v>
      </c>
      <c r="U36" s="28">
        <f>PROGRAMADO!U36/'Anexo '!$D$20</f>
        <v>1313913.5436632799</v>
      </c>
      <c r="V36" s="28">
        <f>PROGRAMADO!V36/'Anexo '!$D$20</f>
        <v>1313913.5436632799</v>
      </c>
      <c r="W36" s="28">
        <f>PROGRAMADO!W36/'Anexo '!$E$13</f>
        <v>0</v>
      </c>
      <c r="X36" s="28">
        <f>PROGRAMADO!X36/'Anexo '!$E$13</f>
        <v>0</v>
      </c>
      <c r="Y36" s="28">
        <f>PROGRAMADO!Y36/'Anexo '!$E$13</f>
        <v>0</v>
      </c>
      <c r="Z36" s="28">
        <f>PROGRAMADO!Z36/'Anexo '!$E$13</f>
        <v>557674.40861535119</v>
      </c>
      <c r="AA36" s="28">
        <f>PROGRAMADO!AA36/'Anexo '!$E$13</f>
        <v>5437325.4839996733</v>
      </c>
      <c r="AB36" s="28">
        <f>PROGRAMADO!AB36/'Anexo '!$E$13</f>
        <v>5994999.8926150249</v>
      </c>
      <c r="AC36" s="28">
        <f>PROGRAMADO!AC36/'Anexo '!$E$13</f>
        <v>5994999.8926150249</v>
      </c>
      <c r="AD36" s="28">
        <f>PROGRAMADO!AD36/'Anexo '!$F$20</f>
        <v>0</v>
      </c>
      <c r="AE36" s="28">
        <f>PROGRAMADO!AE36/'Anexo '!$F$20</f>
        <v>29785.000000000007</v>
      </c>
      <c r="AF36" s="28">
        <f>PROGRAMADO!AF36/'Anexo '!$F$20</f>
        <v>29785.000000000007</v>
      </c>
      <c r="AG36" s="28">
        <f>PROGRAMADO!AG36/'Anexo '!$F$20</f>
        <v>146467844.00000003</v>
      </c>
      <c r="AH36" s="28">
        <f>PROGRAMADO!AH36/'Anexo '!$F$20</f>
        <v>0</v>
      </c>
      <c r="AI36" s="28">
        <f>PROGRAMADO!AI36/'Anexo '!$F$20</f>
        <v>146467844.00000003</v>
      </c>
      <c r="AJ36" s="28">
        <f>PROGRAMADO!AJ36/'Anexo '!$F$20</f>
        <v>146497629.00000003</v>
      </c>
      <c r="AK36" s="28">
        <f>PROGRAMADO!AK36/'Anexo '!$G$20</f>
        <v>0</v>
      </c>
      <c r="AL36" s="28">
        <f>PROGRAMADO!AL36/'Anexo '!$G$20</f>
        <v>1190050.7205931598</v>
      </c>
      <c r="AM36" s="28">
        <f>PROGRAMADO!AM36/'Anexo '!$G$20</f>
        <v>1190050.7205931598</v>
      </c>
      <c r="AN36" s="28">
        <f>PROGRAMADO!AN36/'Anexo '!$G$20</f>
        <v>29230545.833587158</v>
      </c>
      <c r="AO36" s="28">
        <f>PROGRAMADO!AO36/'Anexo '!$G$20</f>
        <v>84370276.32447134</v>
      </c>
      <c r="AP36" s="28">
        <f>PROGRAMADO!AP36/'Anexo '!$G$20</f>
        <v>113600822.15805849</v>
      </c>
      <c r="AQ36" s="28">
        <f>PROGRAMADO!AQ36/'Anexo '!$G$20</f>
        <v>114790872.87865166</v>
      </c>
      <c r="AR36" s="28">
        <f>PROGRAMADO!AR36/'Anexo '!$H$20</f>
        <v>0</v>
      </c>
      <c r="AS36" s="28">
        <f>PROGRAMADO!AS36/'Anexo '!$H$20</f>
        <v>1035641.1569346294</v>
      </c>
      <c r="AT36" s="28">
        <f>PROGRAMADO!AT36/'Anexo '!$H$20</f>
        <v>1035641.1569346294</v>
      </c>
      <c r="AU36" s="28">
        <f>PROGRAMADO!AU36/'Anexo '!$H$20</f>
        <v>6902201.8537348295</v>
      </c>
      <c r="AV36" s="28">
        <f>PROGRAMADO!AV36/'Anexo '!$H$20</f>
        <v>181360852.80874991</v>
      </c>
      <c r="AW36" s="28">
        <f>PROGRAMADO!AW36/'Anexo '!$H$20</f>
        <v>188263054.66248474</v>
      </c>
      <c r="AX36" s="28">
        <f>PROGRAMADO!AX36/'Anexo '!$H$20</f>
        <v>189298695.81941935</v>
      </c>
      <c r="AY36" s="28">
        <f>PROGRAMADO!AY36/'Anexo '!$I$20</f>
        <v>0</v>
      </c>
      <c r="AZ36" s="28">
        <f>PROGRAMADO!AZ36/'Anexo '!$I$20</f>
        <v>0</v>
      </c>
      <c r="BA36" s="28">
        <f>PROGRAMADO!BA36/'Anexo '!$I$20</f>
        <v>0</v>
      </c>
      <c r="BB36" s="28">
        <f>PROGRAMADO!BB36/'Anexo '!$I$20</f>
        <v>0</v>
      </c>
      <c r="BC36" s="28">
        <f>PROGRAMADO!BC36/'Anexo '!$I$20</f>
        <v>0</v>
      </c>
      <c r="BD36" s="28">
        <f>PROGRAMADO!BD36/'Anexo '!$I$20</f>
        <v>0</v>
      </c>
      <c r="BE36" s="28">
        <f>PROGRAMADO!BE36/'Anexo '!$I$20</f>
        <v>0</v>
      </c>
      <c r="BF36" s="28">
        <f>PROGRAMADO!BF36/'Anexo '!$J$20</f>
        <v>0</v>
      </c>
      <c r="BG36" s="28">
        <f>PROGRAMADO!BG36/'Anexo '!$J$20</f>
        <v>0</v>
      </c>
      <c r="BH36" s="28">
        <f>PROGRAMADO!BH36/'Anexo '!$J$20</f>
        <v>0</v>
      </c>
      <c r="BI36" s="28">
        <f>PROGRAMADO!BI36/'Anexo '!$J$20</f>
        <v>0</v>
      </c>
      <c r="BJ36" s="28">
        <f>PROGRAMADO!BJ36/'Anexo '!$J$20</f>
        <v>0</v>
      </c>
      <c r="BK36" s="28">
        <f>PROGRAMADO!BK36/'Anexo '!$J$20</f>
        <v>0</v>
      </c>
      <c r="BL36" s="28">
        <f>PROGRAMADO!BL36/'Anexo '!$J$20</f>
        <v>0</v>
      </c>
      <c r="BM36" s="28">
        <f>PROGRAMADO!BM36/'Anexo '!$K$20</f>
        <v>0</v>
      </c>
      <c r="BN36" s="28">
        <f>PROGRAMADO!BN36/'Anexo '!$K$20</f>
        <v>0</v>
      </c>
      <c r="BO36" s="28">
        <f>PROGRAMADO!BO36/'Anexo '!$K$20</f>
        <v>0</v>
      </c>
      <c r="BP36" s="28">
        <f>PROGRAMADO!BP36/'Anexo '!$K$20</f>
        <v>0</v>
      </c>
      <c r="BQ36" s="28">
        <f>PROGRAMADO!BQ36/'Anexo '!$K$20</f>
        <v>0</v>
      </c>
      <c r="BR36" s="28">
        <f>PROGRAMADO!BR36/'Anexo '!$K$20</f>
        <v>0</v>
      </c>
      <c r="BS36" s="28">
        <f>PROGRAMADO!BS36/'Anexo '!$K$20</f>
        <v>0</v>
      </c>
      <c r="BT36" s="28">
        <f>PROGRAMADO!BT36/'Anexo '!$L$20</f>
        <v>0</v>
      </c>
      <c r="BU36" s="28">
        <f>PROGRAMADO!BU36/'Anexo '!$L$20</f>
        <v>0</v>
      </c>
      <c r="BV36" s="28">
        <f>PROGRAMADO!BV36/'Anexo '!$L$20</f>
        <v>0</v>
      </c>
      <c r="BW36" s="28">
        <f>PROGRAMADO!BW36/'Anexo '!$L$20</f>
        <v>0</v>
      </c>
      <c r="BX36" s="28">
        <f>PROGRAMADO!BX36/'Anexo '!$L$20</f>
        <v>0</v>
      </c>
      <c r="BY36" s="28">
        <f>PROGRAMADO!BY36/'Anexo '!$L$20</f>
        <v>0</v>
      </c>
      <c r="BZ36" s="28">
        <f>PROGRAMADO!BZ36/'Anexo '!$L$20</f>
        <v>0</v>
      </c>
      <c r="CA36" s="28">
        <f>PROGRAMADO!CA36/'Anexo '!$L$20</f>
        <v>0</v>
      </c>
      <c r="CB36" s="28">
        <f>PROGRAMADO!CB36/'Anexo '!$M$20</f>
        <v>0</v>
      </c>
      <c r="CC36" s="28">
        <f>PROGRAMADO!CC36/'Anexo '!$M$20</f>
        <v>0</v>
      </c>
      <c r="CD36" s="28">
        <f>PROGRAMADO!CD36/'Anexo '!$M$20</f>
        <v>0</v>
      </c>
      <c r="CE36" s="28">
        <f>PROGRAMADO!CE36/'Anexo '!$M$20</f>
        <v>0</v>
      </c>
      <c r="CF36" s="28">
        <f>PROGRAMADO!CF36/'Anexo '!$M$20</f>
        <v>0</v>
      </c>
      <c r="CG36" s="28">
        <f>PROGRAMADO!CG36/'Anexo '!$M$20</f>
        <v>0</v>
      </c>
      <c r="CH36" s="28">
        <f>PROGRAMADO!CH36/'Anexo '!$M$20</f>
        <v>0</v>
      </c>
      <c r="CI36" s="29">
        <f>PROGRAMADO!CI36/'Anexo '!$M$20</f>
        <v>0</v>
      </c>
    </row>
    <row r="37" spans="1:101" x14ac:dyDescent="0.25">
      <c r="A37" s="23" t="s">
        <v>70</v>
      </c>
      <c r="B37" s="28">
        <f>PROGRAMADO!B37/'Anexo '!$B$20</f>
        <v>0</v>
      </c>
      <c r="C37" s="28">
        <f>PROGRAMADO!C37/'Anexo '!$B$20</f>
        <v>0</v>
      </c>
      <c r="D37" s="28">
        <f>PROGRAMADO!D37/'Anexo '!$B$20</f>
        <v>0</v>
      </c>
      <c r="E37" s="28">
        <f>PROGRAMADO!E37/'Anexo '!$B$20</f>
        <v>0</v>
      </c>
      <c r="F37" s="28">
        <f>PROGRAMADO!F37/'Anexo '!$B$20</f>
        <v>0</v>
      </c>
      <c r="G37" s="28">
        <f>PROGRAMADO!G37/'Anexo '!$B$20</f>
        <v>0</v>
      </c>
      <c r="H37" s="28">
        <f>PROGRAMADO!H37/'Anexo '!$B$20</f>
        <v>0</v>
      </c>
      <c r="I37" s="28">
        <f>PROGRAMADO!I37/'Anexo '!$C$20</f>
        <v>0</v>
      </c>
      <c r="J37" s="28">
        <f>PROGRAMADO!J37/'Anexo '!$C$20</f>
        <v>0</v>
      </c>
      <c r="K37" s="28">
        <f>PROGRAMADO!K37/'Anexo '!$C$20</f>
        <v>0</v>
      </c>
      <c r="L37" s="28">
        <f>PROGRAMADO!L37/'Anexo '!$C$20</f>
        <v>0</v>
      </c>
      <c r="M37" s="28">
        <f>PROGRAMADO!M37/'Anexo '!$C$20</f>
        <v>0</v>
      </c>
      <c r="N37" s="28">
        <f>PROGRAMADO!N37/'Anexo '!$C$20</f>
        <v>0</v>
      </c>
      <c r="O37" s="28">
        <f>PROGRAMADO!O37/'Anexo '!$C$20</f>
        <v>0</v>
      </c>
      <c r="P37" s="28">
        <f>PROGRAMADO!P37/'Anexo '!$D$20</f>
        <v>0</v>
      </c>
      <c r="Q37" s="28">
        <f>PROGRAMADO!Q37/'Anexo '!$D$20</f>
        <v>328478.38591581996</v>
      </c>
      <c r="R37" s="28">
        <f>PROGRAMADO!R37/'Anexo '!$D$20</f>
        <v>328478.38591581996</v>
      </c>
      <c r="S37" s="28">
        <f>PROGRAMADO!S37/'Anexo '!$D$20</f>
        <v>0</v>
      </c>
      <c r="T37" s="28">
        <f>PROGRAMADO!T37/'Anexo '!$D$20</f>
        <v>61106834.131919987</v>
      </c>
      <c r="U37" s="28">
        <f>PROGRAMADO!U37/'Anexo '!$D$20</f>
        <v>61106834.131919987</v>
      </c>
      <c r="V37" s="28">
        <f>PROGRAMADO!V37/'Anexo '!$D$20</f>
        <v>61435312.517835811</v>
      </c>
      <c r="W37" s="28">
        <f>PROGRAMADO!W37/'Anexo '!$E$13</f>
        <v>0</v>
      </c>
      <c r="X37" s="28">
        <f>PROGRAMADO!X37/'Anexo '!$E$13</f>
        <v>557674.40861535119</v>
      </c>
      <c r="Y37" s="28">
        <f>PROGRAMADO!Y37/'Anexo '!$E$13</f>
        <v>557674.40861535119</v>
      </c>
      <c r="Z37" s="28">
        <f>PROGRAMADO!Z37/'Anexo '!$E$13</f>
        <v>0</v>
      </c>
      <c r="AA37" s="28">
        <f>PROGRAMADO!AA37/'Anexo '!$E$13</f>
        <v>0</v>
      </c>
      <c r="AB37" s="28">
        <f>PROGRAMADO!AB37/'Anexo '!$E$13</f>
        <v>0</v>
      </c>
      <c r="AC37" s="28">
        <f>PROGRAMADO!AC37/'Anexo '!$E$13</f>
        <v>557674.40861535119</v>
      </c>
      <c r="AD37" s="28">
        <f>PROGRAMADO!AD37/'Anexo '!$F$20</f>
        <v>0</v>
      </c>
      <c r="AE37" s="28">
        <f>PROGRAMADO!AE37/'Anexo '!$F$20</f>
        <v>0</v>
      </c>
      <c r="AF37" s="28">
        <f>PROGRAMADO!AF37/'Anexo '!$F$20</f>
        <v>0</v>
      </c>
      <c r="AG37" s="28">
        <f>PROGRAMADO!AG37/'Anexo '!$F$20</f>
        <v>0</v>
      </c>
      <c r="AH37" s="28">
        <f>PROGRAMADO!AH37/'Anexo '!$F$20</f>
        <v>0</v>
      </c>
      <c r="AI37" s="28">
        <f>PROGRAMADO!AI37/'Anexo '!$F$20</f>
        <v>0</v>
      </c>
      <c r="AJ37" s="28">
        <f>PROGRAMADO!AJ37/'Anexo '!$F$20</f>
        <v>0</v>
      </c>
      <c r="AK37" s="28">
        <f>PROGRAMADO!AK37/'Anexo '!$G$20</f>
        <v>0</v>
      </c>
      <c r="AL37" s="28">
        <f>PROGRAMADO!AL37/'Anexo '!$G$20</f>
        <v>0</v>
      </c>
      <c r="AM37" s="28">
        <f>PROGRAMADO!AM37/'Anexo '!$G$20</f>
        <v>0</v>
      </c>
      <c r="AN37" s="28">
        <f>PROGRAMADO!AN37/'Anexo '!$G$20</f>
        <v>0</v>
      </c>
      <c r="AO37" s="28">
        <f>PROGRAMADO!AO37/'Anexo '!$G$20</f>
        <v>0</v>
      </c>
      <c r="AP37" s="28">
        <f>PROGRAMADO!AP37/'Anexo '!$G$20</f>
        <v>0</v>
      </c>
      <c r="AQ37" s="28">
        <f>PROGRAMADO!AQ37/'Anexo '!$G$20</f>
        <v>0</v>
      </c>
      <c r="AR37" s="28">
        <f>PROGRAMADO!AR37/'Anexo '!$H$20</f>
        <v>0</v>
      </c>
      <c r="AS37" s="28">
        <f>PROGRAMADO!AS37/'Anexo '!$H$20</f>
        <v>0</v>
      </c>
      <c r="AT37" s="28">
        <f>PROGRAMADO!AT37/'Anexo '!$H$20</f>
        <v>0</v>
      </c>
      <c r="AU37" s="28">
        <f>PROGRAMADO!AU37/'Anexo '!$H$20</f>
        <v>0</v>
      </c>
      <c r="AV37" s="28">
        <f>PROGRAMADO!AV37/'Anexo '!$H$20</f>
        <v>0</v>
      </c>
      <c r="AW37" s="28">
        <f>PROGRAMADO!AW37/'Anexo '!$H$20</f>
        <v>0</v>
      </c>
      <c r="AX37" s="28">
        <f>PROGRAMADO!AX37/'Anexo '!$H$20</f>
        <v>0</v>
      </c>
      <c r="AY37" s="28">
        <f>PROGRAMADO!AY37/'Anexo '!$I$20</f>
        <v>0</v>
      </c>
      <c r="AZ37" s="28">
        <f>PROGRAMADO!AZ37/'Anexo '!$I$20</f>
        <v>0</v>
      </c>
      <c r="BA37" s="28">
        <f>PROGRAMADO!BA37/'Anexo '!$I$20</f>
        <v>0</v>
      </c>
      <c r="BB37" s="28">
        <f>PROGRAMADO!BB37/'Anexo '!$I$20</f>
        <v>0</v>
      </c>
      <c r="BC37" s="28">
        <f>PROGRAMADO!BC37/'Anexo '!$I$20</f>
        <v>0</v>
      </c>
      <c r="BD37" s="28">
        <f>PROGRAMADO!BD37/'Anexo '!$I$20</f>
        <v>0</v>
      </c>
      <c r="BE37" s="28">
        <f>PROGRAMADO!BE37/'Anexo '!$I$20</f>
        <v>0</v>
      </c>
      <c r="BF37" s="28">
        <f>PROGRAMADO!BF37/'Anexo '!$J$20</f>
        <v>0</v>
      </c>
      <c r="BG37" s="28">
        <f>PROGRAMADO!BG37/'Anexo '!$J$20</f>
        <v>0</v>
      </c>
      <c r="BH37" s="28">
        <f>PROGRAMADO!BH37/'Anexo '!$J$20</f>
        <v>0</v>
      </c>
      <c r="BI37" s="28">
        <f>PROGRAMADO!BI37/'Anexo '!$J$20</f>
        <v>0</v>
      </c>
      <c r="BJ37" s="28">
        <f>PROGRAMADO!BJ37/'Anexo '!$J$20</f>
        <v>0</v>
      </c>
      <c r="BK37" s="28">
        <f>PROGRAMADO!BK37/'Anexo '!$J$20</f>
        <v>0</v>
      </c>
      <c r="BL37" s="28">
        <f>PROGRAMADO!BL37/'Anexo '!$J$20</f>
        <v>0</v>
      </c>
      <c r="BM37" s="28">
        <f>PROGRAMADO!BM37/'Anexo '!$K$20</f>
        <v>0</v>
      </c>
      <c r="BN37" s="28">
        <f>PROGRAMADO!BN37/'Anexo '!$K$20</f>
        <v>0</v>
      </c>
      <c r="BO37" s="28">
        <f>PROGRAMADO!BO37/'Anexo '!$K$20</f>
        <v>0</v>
      </c>
      <c r="BP37" s="28">
        <f>PROGRAMADO!BP37/'Anexo '!$K$20</f>
        <v>0</v>
      </c>
      <c r="BQ37" s="28">
        <f>PROGRAMADO!BQ37/'Anexo '!$K$20</f>
        <v>0</v>
      </c>
      <c r="BR37" s="28">
        <f>PROGRAMADO!BR37/'Anexo '!$K$20</f>
        <v>0</v>
      </c>
      <c r="BS37" s="28">
        <f>PROGRAMADO!BS37/'Anexo '!$K$20</f>
        <v>0</v>
      </c>
      <c r="BT37" s="28">
        <f>PROGRAMADO!BT37/'Anexo '!$L$20</f>
        <v>0</v>
      </c>
      <c r="BU37" s="28">
        <f>PROGRAMADO!BU37/'Anexo '!$L$20</f>
        <v>0</v>
      </c>
      <c r="BV37" s="28">
        <f>PROGRAMADO!BV37/'Anexo '!$L$20</f>
        <v>0</v>
      </c>
      <c r="BW37" s="28">
        <f>PROGRAMADO!BW37/'Anexo '!$L$20</f>
        <v>0</v>
      </c>
      <c r="BX37" s="28">
        <f>PROGRAMADO!BX37/'Anexo '!$L$20</f>
        <v>0</v>
      </c>
      <c r="BY37" s="28">
        <f>PROGRAMADO!BY37/'Anexo '!$L$20</f>
        <v>0</v>
      </c>
      <c r="BZ37" s="28">
        <f>PROGRAMADO!BZ37/'Anexo '!$L$20</f>
        <v>0</v>
      </c>
      <c r="CA37" s="28">
        <f>PROGRAMADO!CA37/'Anexo '!$L$20</f>
        <v>0</v>
      </c>
      <c r="CB37" s="28">
        <f>PROGRAMADO!CB37/'Anexo '!$M$20</f>
        <v>0</v>
      </c>
      <c r="CC37" s="28">
        <f>PROGRAMADO!CC37/'Anexo '!$M$20</f>
        <v>0</v>
      </c>
      <c r="CD37" s="28">
        <f>PROGRAMADO!CD37/'Anexo '!$M$20</f>
        <v>0</v>
      </c>
      <c r="CE37" s="28">
        <f>PROGRAMADO!CE37/'Anexo '!$M$20</f>
        <v>0</v>
      </c>
      <c r="CF37" s="28">
        <f>PROGRAMADO!CF37/'Anexo '!$M$20</f>
        <v>0</v>
      </c>
      <c r="CG37" s="28">
        <f>PROGRAMADO!CG37/'Anexo '!$M$20</f>
        <v>0</v>
      </c>
      <c r="CH37" s="28">
        <f>PROGRAMADO!CH37/'Anexo '!$M$20</f>
        <v>0</v>
      </c>
      <c r="CI37" s="29">
        <f>PROGRAMADO!CI37/'Anexo '!$M$20</f>
        <v>0</v>
      </c>
    </row>
    <row r="38" spans="1:101" x14ac:dyDescent="0.25">
      <c r="A38" s="23" t="s">
        <v>71</v>
      </c>
      <c r="B38" s="28">
        <f>PROGRAMADO!B38/'Anexo '!$B$20</f>
        <v>0</v>
      </c>
      <c r="C38" s="28">
        <f>PROGRAMADO!C38/'Anexo '!$B$20</f>
        <v>0</v>
      </c>
      <c r="D38" s="28">
        <f>PROGRAMADO!D38/'Anexo '!$B$20</f>
        <v>0</v>
      </c>
      <c r="E38" s="28">
        <f>PROGRAMADO!E38/'Anexo '!$B$20</f>
        <v>0</v>
      </c>
      <c r="F38" s="28">
        <f>PROGRAMADO!F38/'Anexo '!$B$20</f>
        <v>0</v>
      </c>
      <c r="G38" s="28">
        <f>PROGRAMADO!G38/'Anexo '!$B$20</f>
        <v>0</v>
      </c>
      <c r="H38" s="28">
        <f>PROGRAMADO!H38/'Anexo '!$B$20</f>
        <v>0</v>
      </c>
      <c r="I38" s="28">
        <f>PROGRAMADO!I38/'Anexo '!$C$20</f>
        <v>0</v>
      </c>
      <c r="J38" s="28">
        <f>PROGRAMADO!J38/'Anexo '!$C$20</f>
        <v>0</v>
      </c>
      <c r="K38" s="28">
        <f>PROGRAMADO!K38/'Anexo '!$C$20</f>
        <v>0</v>
      </c>
      <c r="L38" s="28">
        <f>PROGRAMADO!L38/'Anexo '!$C$20</f>
        <v>0</v>
      </c>
      <c r="M38" s="28">
        <f>PROGRAMADO!M38/'Anexo '!$C$20</f>
        <v>0</v>
      </c>
      <c r="N38" s="28">
        <f>PROGRAMADO!N38/'Anexo '!$C$20</f>
        <v>0</v>
      </c>
      <c r="O38" s="28">
        <f>PROGRAMADO!O38/'Anexo '!$C$20</f>
        <v>0</v>
      </c>
      <c r="P38" s="28">
        <f>PROGRAMADO!P38/'Anexo '!$D$20</f>
        <v>0</v>
      </c>
      <c r="Q38" s="28">
        <f>PROGRAMADO!Q38/'Anexo '!$D$20</f>
        <v>7650947.4708492393</v>
      </c>
      <c r="R38" s="28">
        <f>PROGRAMADO!R38/'Anexo '!$D$20</f>
        <v>7650947.4708492393</v>
      </c>
      <c r="S38" s="28">
        <f>PROGRAMADO!S38/'Anexo '!$D$20</f>
        <v>0</v>
      </c>
      <c r="T38" s="28">
        <f>PROGRAMADO!T38/'Anexo '!$D$20</f>
        <v>0</v>
      </c>
      <c r="U38" s="28">
        <f>PROGRAMADO!U38/'Anexo '!$D$20</f>
        <v>0</v>
      </c>
      <c r="V38" s="28">
        <f>PROGRAMADO!V38/'Anexo '!$D$20</f>
        <v>7650947.4708492393</v>
      </c>
      <c r="W38" s="28">
        <f>PROGRAMADO!W38/'Anexo '!$E$13</f>
        <v>0</v>
      </c>
      <c r="X38" s="28">
        <f>PROGRAMADO!X38/'Anexo '!$E$13</f>
        <v>8922790.537845619</v>
      </c>
      <c r="Y38" s="28">
        <f>PROGRAMADO!Y38/'Anexo '!$E$13</f>
        <v>8922790.537845619</v>
      </c>
      <c r="Z38" s="28">
        <f>PROGRAMADO!Z38/'Anexo '!$E$13</f>
        <v>0</v>
      </c>
      <c r="AA38" s="28">
        <f>PROGRAMADO!AA38/'Anexo '!$E$13</f>
        <v>0</v>
      </c>
      <c r="AB38" s="28">
        <f>PROGRAMADO!AB38/'Anexo '!$E$13</f>
        <v>0</v>
      </c>
      <c r="AC38" s="28">
        <f>PROGRAMADO!AC38/'Anexo '!$E$13</f>
        <v>8922790.537845619</v>
      </c>
      <c r="AD38" s="28">
        <f>PROGRAMADO!AD38/'Anexo '!$F$20</f>
        <v>0</v>
      </c>
      <c r="AE38" s="28">
        <f>PROGRAMADO!AE38/'Anexo '!$F$20</f>
        <v>9000000.0000000019</v>
      </c>
      <c r="AF38" s="28">
        <f>PROGRAMADO!AF38/'Anexo '!$F$20</f>
        <v>9000000.0000000019</v>
      </c>
      <c r="AG38" s="28">
        <f>PROGRAMADO!AG38/'Anexo '!$F$20</f>
        <v>8000000.0000000019</v>
      </c>
      <c r="AH38" s="28">
        <f>PROGRAMADO!AH38/'Anexo '!$F$20</f>
        <v>0</v>
      </c>
      <c r="AI38" s="28">
        <f>PROGRAMADO!AI38/'Anexo '!$F$20</f>
        <v>8000000.0000000019</v>
      </c>
      <c r="AJ38" s="28">
        <f>PROGRAMADO!AJ38/'Anexo '!$F$20</f>
        <v>17000000.000000004</v>
      </c>
      <c r="AK38" s="28">
        <f>PROGRAMADO!AK38/'Anexo '!$G$20</f>
        <v>0</v>
      </c>
      <c r="AL38" s="28">
        <f>PROGRAMADO!AL38/'Anexo '!$G$20</f>
        <v>8548924.4856357779</v>
      </c>
      <c r="AM38" s="28">
        <f>PROGRAMADO!AM38/'Anexo '!$G$20</f>
        <v>8548924.4856357779</v>
      </c>
      <c r="AN38" s="28">
        <f>PROGRAMADO!AN38/'Anexo '!$G$20</f>
        <v>0</v>
      </c>
      <c r="AO38" s="28">
        <f>PROGRAMADO!AO38/'Anexo '!$G$20</f>
        <v>0</v>
      </c>
      <c r="AP38" s="28">
        <f>PROGRAMADO!AP38/'Anexo '!$G$20</f>
        <v>0</v>
      </c>
      <c r="AQ38" s="28">
        <f>PROGRAMADO!AQ38/'Anexo '!$G$20</f>
        <v>8548924.4856357779</v>
      </c>
      <c r="AR38" s="28">
        <f>PROGRAMADO!AR38/'Anexo '!$H$20</f>
        <v>0</v>
      </c>
      <c r="AS38" s="28">
        <f>PROGRAMADO!AS38/'Anexo '!$H$20</f>
        <v>7897186.9623167124</v>
      </c>
      <c r="AT38" s="28">
        <f>PROGRAMADO!AT38/'Anexo '!$H$20</f>
        <v>7897186.9623167124</v>
      </c>
      <c r="AU38" s="28">
        <f>PROGRAMADO!AU38/'Anexo '!$H$20</f>
        <v>0</v>
      </c>
      <c r="AV38" s="28">
        <f>PROGRAMADO!AV38/'Anexo '!$H$20</f>
        <v>0</v>
      </c>
      <c r="AW38" s="28">
        <f>PROGRAMADO!AW38/'Anexo '!$H$20</f>
        <v>0</v>
      </c>
      <c r="AX38" s="28">
        <f>PROGRAMADO!AX38/'Anexo '!$H$20</f>
        <v>7897186.9623167124</v>
      </c>
      <c r="AY38" s="28">
        <f>PROGRAMADO!AY38/'Anexo '!$I$20</f>
        <v>0</v>
      </c>
      <c r="AZ38" s="28">
        <f>PROGRAMADO!AZ38/'Anexo '!$I$20</f>
        <v>7704631.1424744753</v>
      </c>
      <c r="BA38" s="28">
        <f>PROGRAMADO!BA38/'Anexo '!$I$20</f>
        <v>7704631.1424744753</v>
      </c>
      <c r="BB38" s="28">
        <f>PROGRAMADO!BB38/'Anexo '!$I$20</f>
        <v>0</v>
      </c>
      <c r="BC38" s="28">
        <f>PROGRAMADO!BC38/'Anexo '!$I$20</f>
        <v>0</v>
      </c>
      <c r="BD38" s="28">
        <f>PROGRAMADO!BD38/'Anexo '!$I$20</f>
        <v>0</v>
      </c>
      <c r="BE38" s="28">
        <f>PROGRAMADO!BE38/'Anexo '!$I$20</f>
        <v>7704631.1424744753</v>
      </c>
      <c r="BF38" s="28">
        <f>PROGRAMADO!BF38/'Anexo '!$J$20</f>
        <v>0</v>
      </c>
      <c r="BG38" s="28">
        <f>PROGRAMADO!BG38/'Anexo '!$J$20</f>
        <v>2846669.7165756836</v>
      </c>
      <c r="BH38" s="28">
        <f>PROGRAMADO!BH38/'Anexo '!$J$20</f>
        <v>2846669.7165756836</v>
      </c>
      <c r="BI38" s="28">
        <f>PROGRAMADO!BI38/'Anexo '!$J$20</f>
        <v>0</v>
      </c>
      <c r="BJ38" s="28">
        <f>PROGRAMADO!BJ38/'Anexo '!$J$20</f>
        <v>0</v>
      </c>
      <c r="BK38" s="28">
        <f>PROGRAMADO!BK38/'Anexo '!$J$20</f>
        <v>0</v>
      </c>
      <c r="BL38" s="28">
        <f>PROGRAMADO!BL38/'Anexo '!$J$20</f>
        <v>2846669.7165756836</v>
      </c>
      <c r="BM38" s="28">
        <f>PROGRAMADO!BM38/'Anexo '!$K$20</f>
        <v>0</v>
      </c>
      <c r="BN38" s="28">
        <f>PROGRAMADO!BN38/'Anexo '!$K$20</f>
        <v>2552051.9854360162</v>
      </c>
      <c r="BO38" s="28">
        <f>PROGRAMADO!BO38/'Anexo '!$K$20</f>
        <v>2552051.9854360162</v>
      </c>
      <c r="BP38" s="28">
        <f>PROGRAMADO!BP38/'Anexo '!$K$20</f>
        <v>0</v>
      </c>
      <c r="BQ38" s="28">
        <f>PROGRAMADO!BQ38/'Anexo '!$K$20</f>
        <v>0</v>
      </c>
      <c r="BR38" s="28">
        <f>PROGRAMADO!BR38/'Anexo '!$K$20</f>
        <v>0</v>
      </c>
      <c r="BS38" s="28">
        <f>PROGRAMADO!BS38/'Anexo '!$K$20</f>
        <v>2552051.9854360162</v>
      </c>
      <c r="BT38" s="28">
        <f>PROGRAMADO!BT38/'Anexo '!$L$20</f>
        <v>0</v>
      </c>
      <c r="BU38" s="28">
        <f>PROGRAMADO!BU38/'Anexo '!$L$20</f>
        <v>2501535.7870048624</v>
      </c>
      <c r="BV38" s="28">
        <f>PROGRAMADO!BV38/'Anexo '!$L$20</f>
        <v>0</v>
      </c>
      <c r="BW38" s="28">
        <f>PROGRAMADO!BW38/'Anexo '!$L$20</f>
        <v>2501535.7870048624</v>
      </c>
      <c r="BX38" s="28">
        <f>PROGRAMADO!BX38/'Anexo '!$L$20</f>
        <v>0</v>
      </c>
      <c r="BY38" s="28">
        <f>PROGRAMADO!BY38/'Anexo '!$L$20</f>
        <v>0</v>
      </c>
      <c r="BZ38" s="28">
        <f>PROGRAMADO!BZ38/'Anexo '!$L$20</f>
        <v>0</v>
      </c>
      <c r="CA38" s="28">
        <f>PROGRAMADO!CA38/'Anexo '!$L$20</f>
        <v>2501535.7870048624</v>
      </c>
      <c r="CB38" s="28">
        <f>PROGRAMADO!CB38/'Anexo '!$M$20</f>
        <v>0</v>
      </c>
      <c r="CC38" s="28">
        <f>PROGRAMADO!CC38/'Anexo '!$M$20</f>
        <v>2782798.8615163402</v>
      </c>
      <c r="CD38" s="28">
        <f>PROGRAMADO!CD38/'Anexo '!$M$20</f>
        <v>0</v>
      </c>
      <c r="CE38" s="28">
        <f>PROGRAMADO!CE38/'Anexo '!$M$20</f>
        <v>2782798.8615163402</v>
      </c>
      <c r="CF38" s="28">
        <f>PROGRAMADO!CF38/'Anexo '!$M$20</f>
        <v>0</v>
      </c>
      <c r="CG38" s="28">
        <f>PROGRAMADO!CG38/'Anexo '!$M$20</f>
        <v>0</v>
      </c>
      <c r="CH38" s="28">
        <f>PROGRAMADO!CH38/'Anexo '!$M$20</f>
        <v>0</v>
      </c>
      <c r="CI38" s="29">
        <f>PROGRAMADO!CI38/'Anexo '!$M$20</f>
        <v>2782798.8615163402</v>
      </c>
    </row>
    <row r="39" spans="1:101" x14ac:dyDescent="0.25">
      <c r="A39" s="23" t="s">
        <v>25</v>
      </c>
      <c r="B39" s="28">
        <f>PROGRAMADO!B39/'Anexo '!$B$20</f>
        <v>0</v>
      </c>
      <c r="C39" s="28">
        <f>PROGRAMADO!C39/'Anexo '!$B$20</f>
        <v>0</v>
      </c>
      <c r="D39" s="28">
        <f>PROGRAMADO!D39/'Anexo '!$B$20</f>
        <v>0</v>
      </c>
      <c r="E39" s="28">
        <f>PROGRAMADO!E39/'Anexo '!$B$20</f>
        <v>0</v>
      </c>
      <c r="F39" s="28">
        <f>PROGRAMADO!F39/'Anexo '!$B$20</f>
        <v>0</v>
      </c>
      <c r="G39" s="28">
        <f>PROGRAMADO!G39/'Anexo '!$B$20</f>
        <v>0</v>
      </c>
      <c r="H39" s="28">
        <f>PROGRAMADO!H39/'Anexo '!$B$20</f>
        <v>0</v>
      </c>
      <c r="I39" s="28">
        <f>PROGRAMADO!I39/'Anexo '!$C$20</f>
        <v>0</v>
      </c>
      <c r="J39" s="28">
        <f>PROGRAMADO!J39/'Anexo '!$C$20</f>
        <v>0</v>
      </c>
      <c r="K39" s="28">
        <f>PROGRAMADO!K39/'Anexo '!$C$20</f>
        <v>0</v>
      </c>
      <c r="L39" s="28">
        <f>PROGRAMADO!L39/'Anexo '!$C$20</f>
        <v>0</v>
      </c>
      <c r="M39" s="28">
        <f>PROGRAMADO!M39/'Anexo '!$C$20</f>
        <v>0</v>
      </c>
      <c r="N39" s="28">
        <f>PROGRAMADO!N39/'Anexo '!$C$20</f>
        <v>0</v>
      </c>
      <c r="O39" s="28">
        <f>PROGRAMADO!O39/'Anexo '!$C$20</f>
        <v>0</v>
      </c>
      <c r="P39" s="28">
        <f>PROGRAMADO!P39/'Anexo '!$D$20</f>
        <v>0</v>
      </c>
      <c r="Q39" s="28">
        <f>PROGRAMADO!Q39/'Anexo '!$D$20</f>
        <v>3391363.2701659906</v>
      </c>
      <c r="R39" s="28">
        <f>PROGRAMADO!R39/'Anexo '!$D$20</f>
        <v>3391363.2701659906</v>
      </c>
      <c r="S39" s="28">
        <f>PROGRAMADO!S39/'Anexo '!$D$20</f>
        <v>1987069.5555747445</v>
      </c>
      <c r="T39" s="28">
        <f>PROGRAMADO!T39/'Anexo '!$D$20</f>
        <v>0</v>
      </c>
      <c r="U39" s="28">
        <f>PROGRAMADO!U39/'Anexo '!$D$20</f>
        <v>1987069.5555747445</v>
      </c>
      <c r="V39" s="28">
        <f>PROGRAMADO!V39/'Anexo '!$D$20</f>
        <v>5378432.825740735</v>
      </c>
      <c r="W39" s="28">
        <f>PROGRAMADO!W39/'Anexo '!$E$13</f>
        <v>0</v>
      </c>
      <c r="X39" s="28">
        <f>PROGRAMADO!X39/'Anexo '!$E$13</f>
        <v>2600007.4734275658</v>
      </c>
      <c r="Y39" s="28">
        <f>PROGRAMADO!Y39/'Anexo '!$E$13</f>
        <v>2600007.4734275658</v>
      </c>
      <c r="Z39" s="28">
        <f>PROGRAMADO!Z39/'Anexo '!$E$13</f>
        <v>1114233.4684134715</v>
      </c>
      <c r="AA39" s="28">
        <f>PROGRAMADO!AA39/'Anexo '!$E$13</f>
        <v>0</v>
      </c>
      <c r="AB39" s="28">
        <f>PROGRAMADO!AB39/'Anexo '!$E$13</f>
        <v>1114233.4684134715</v>
      </c>
      <c r="AC39" s="28">
        <f>PROGRAMADO!AC39/'Anexo '!$E$13</f>
        <v>3714240.9418410375</v>
      </c>
      <c r="AD39" s="28">
        <f>PROGRAMADO!AD39/'Anexo '!$F$20</f>
        <v>0</v>
      </c>
      <c r="AE39" s="28">
        <f>PROGRAMADO!AE39/'Anexo '!$F$20</f>
        <v>4203217.0000000009</v>
      </c>
      <c r="AF39" s="28">
        <f>PROGRAMADO!AF39/'Anexo '!$F$20</f>
        <v>4203217.0000000009</v>
      </c>
      <c r="AG39" s="28">
        <f>PROGRAMADO!AG39/'Anexo '!$F$20</f>
        <v>1162993.0000000002</v>
      </c>
      <c r="AH39" s="28">
        <f>PROGRAMADO!AH39/'Anexo '!$F$20</f>
        <v>0</v>
      </c>
      <c r="AI39" s="28">
        <f>PROGRAMADO!AI39/'Anexo '!$F$20</f>
        <v>1162993.0000000002</v>
      </c>
      <c r="AJ39" s="28">
        <f>PROGRAMADO!AJ39/'Anexo '!$F$20</f>
        <v>5366210.0000000009</v>
      </c>
      <c r="AK39" s="28">
        <f>PROGRAMADO!AK39/'Anexo '!$G$20</f>
        <v>0</v>
      </c>
      <c r="AL39" s="28">
        <f>PROGRAMADO!AL39/'Anexo '!$G$20</f>
        <v>4512521.5021705553</v>
      </c>
      <c r="AM39" s="28">
        <f>PROGRAMADO!AM39/'Anexo '!$G$20</f>
        <v>4512521.5021705553</v>
      </c>
      <c r="AN39" s="28">
        <f>PROGRAMADO!AN39/'Anexo '!$G$20</f>
        <v>0</v>
      </c>
      <c r="AO39" s="28">
        <f>PROGRAMADO!AO39/'Anexo '!$G$20</f>
        <v>0</v>
      </c>
      <c r="AP39" s="28">
        <f>PROGRAMADO!AP39/'Anexo '!$G$20</f>
        <v>0</v>
      </c>
      <c r="AQ39" s="28">
        <f>PROGRAMADO!AQ39/'Anexo '!$G$20</f>
        <v>4512521.5021705553</v>
      </c>
      <c r="AR39" s="28">
        <f>PROGRAMADO!AR39/'Anexo '!$H$20</f>
        <v>0</v>
      </c>
      <c r="AS39" s="28">
        <f>PROGRAMADO!AS39/'Anexo '!$H$20</f>
        <v>0</v>
      </c>
      <c r="AT39" s="28">
        <f>PROGRAMADO!AT39/'Anexo '!$H$20</f>
        <v>0</v>
      </c>
      <c r="AU39" s="28">
        <f>PROGRAMADO!AU39/'Anexo '!$H$20</f>
        <v>0</v>
      </c>
      <c r="AV39" s="28">
        <f>PROGRAMADO!AV39/'Anexo '!$H$20</f>
        <v>0</v>
      </c>
      <c r="AW39" s="28">
        <f>PROGRAMADO!AW39/'Anexo '!$H$20</f>
        <v>0</v>
      </c>
      <c r="AX39" s="28">
        <f>PROGRAMADO!AX39/'Anexo '!$H$20</f>
        <v>0</v>
      </c>
      <c r="AY39" s="28">
        <f>PROGRAMADO!AY39/'Anexo '!$I$20</f>
        <v>0</v>
      </c>
      <c r="AZ39" s="28">
        <f>PROGRAMADO!AZ39/'Anexo '!$I$20</f>
        <v>0</v>
      </c>
      <c r="BA39" s="28">
        <f>PROGRAMADO!BA39/'Anexo '!$I$20</f>
        <v>0</v>
      </c>
      <c r="BB39" s="28">
        <f>PROGRAMADO!BB39/'Anexo '!$I$20</f>
        <v>0</v>
      </c>
      <c r="BC39" s="28">
        <f>PROGRAMADO!BC39/'Anexo '!$I$20</f>
        <v>0</v>
      </c>
      <c r="BD39" s="28">
        <f>PROGRAMADO!BD39/'Anexo '!$I$20</f>
        <v>0</v>
      </c>
      <c r="BE39" s="28">
        <f>PROGRAMADO!BE39/'Anexo '!$I$20</f>
        <v>0</v>
      </c>
      <c r="BF39" s="28">
        <f>PROGRAMADO!BF39/'Anexo '!$J$20</f>
        <v>0</v>
      </c>
      <c r="BG39" s="28">
        <f>PROGRAMADO!BG39/'Anexo '!$J$20</f>
        <v>0</v>
      </c>
      <c r="BH39" s="28">
        <f>PROGRAMADO!BH39/'Anexo '!$J$20</f>
        <v>0</v>
      </c>
      <c r="BI39" s="28">
        <f>PROGRAMADO!BI39/'Anexo '!$J$20</f>
        <v>0</v>
      </c>
      <c r="BJ39" s="28">
        <f>PROGRAMADO!BJ39/'Anexo '!$J$20</f>
        <v>0</v>
      </c>
      <c r="BK39" s="28">
        <f>PROGRAMADO!BK39/'Anexo '!$J$20</f>
        <v>0</v>
      </c>
      <c r="BL39" s="28">
        <f>PROGRAMADO!BL39/'Anexo '!$J$20</f>
        <v>0</v>
      </c>
      <c r="BM39" s="28">
        <f>PROGRAMADO!BM39/'Anexo '!$K$20</f>
        <v>0</v>
      </c>
      <c r="BN39" s="28">
        <f>PROGRAMADO!BN39/'Anexo '!$K$20</f>
        <v>3044317.1745736017</v>
      </c>
      <c r="BO39" s="28">
        <f>PROGRAMADO!BO39/'Anexo '!$K$20</f>
        <v>3044317.1745736017</v>
      </c>
      <c r="BP39" s="28">
        <f>PROGRAMADO!BP39/'Anexo '!$K$20</f>
        <v>0</v>
      </c>
      <c r="BQ39" s="28">
        <f>PROGRAMADO!BQ39/'Anexo '!$K$20</f>
        <v>0</v>
      </c>
      <c r="BR39" s="28">
        <f>PROGRAMADO!BR39/'Anexo '!$K$20</f>
        <v>0</v>
      </c>
      <c r="BS39" s="28">
        <f>PROGRAMADO!BS39/'Anexo '!$K$20</f>
        <v>3044317.1745736017</v>
      </c>
      <c r="BT39" s="28">
        <f>PROGRAMADO!BT39/'Anexo '!$L$20</f>
        <v>0</v>
      </c>
      <c r="BU39" s="28">
        <f>PROGRAMADO!BU39/'Anexo '!$L$20</f>
        <v>851590.47051186825</v>
      </c>
      <c r="BV39" s="28">
        <f>PROGRAMADO!BV39/'Anexo '!$L$20</f>
        <v>0</v>
      </c>
      <c r="BW39" s="28">
        <f>PROGRAMADO!BW39/'Anexo '!$L$20</f>
        <v>851590.47051186825</v>
      </c>
      <c r="BX39" s="28">
        <f>PROGRAMADO!BX39/'Anexo '!$L$20</f>
        <v>0</v>
      </c>
      <c r="BY39" s="28">
        <f>PROGRAMADO!BY39/'Anexo '!$L$20</f>
        <v>0</v>
      </c>
      <c r="BZ39" s="28">
        <f>PROGRAMADO!BZ39/'Anexo '!$L$20</f>
        <v>0</v>
      </c>
      <c r="CA39" s="28">
        <f>PROGRAMADO!CA39/'Anexo '!$L$20</f>
        <v>851590.47051186825</v>
      </c>
      <c r="CB39" s="28">
        <f>PROGRAMADO!CB39/'Anexo '!$M$20</f>
        <v>0</v>
      </c>
      <c r="CC39" s="28">
        <f>PROGRAMADO!CC39/'Anexo '!$M$20</f>
        <v>785970.9955209567</v>
      </c>
      <c r="CD39" s="28">
        <f>PROGRAMADO!CD39/'Anexo '!$M$20</f>
        <v>0</v>
      </c>
      <c r="CE39" s="28">
        <f>PROGRAMADO!CE39/'Anexo '!$M$20</f>
        <v>785970.9955209567</v>
      </c>
      <c r="CF39" s="28">
        <f>PROGRAMADO!CF39/'Anexo '!$M$20</f>
        <v>0</v>
      </c>
      <c r="CG39" s="28">
        <f>PROGRAMADO!CG39/'Anexo '!$M$20</f>
        <v>0</v>
      </c>
      <c r="CH39" s="28">
        <f>PROGRAMADO!CH39/'Anexo '!$M$20</f>
        <v>0</v>
      </c>
      <c r="CI39" s="29">
        <f>PROGRAMADO!CI39/'Anexo '!$M$20</f>
        <v>785970.9955209567</v>
      </c>
    </row>
    <row r="40" spans="1:101" x14ac:dyDescent="0.25">
      <c r="A40" s="23" t="s">
        <v>72</v>
      </c>
      <c r="B40" s="28">
        <f>PROGRAMADO!B40/'Anexo '!$B$20</f>
        <v>0</v>
      </c>
      <c r="C40" s="28">
        <f>PROGRAMADO!C40/'Anexo '!$B$20</f>
        <v>0</v>
      </c>
      <c r="D40" s="28">
        <f>PROGRAMADO!D40/'Anexo '!$B$20</f>
        <v>0</v>
      </c>
      <c r="E40" s="28">
        <f>PROGRAMADO!E40/'Anexo '!$B$20</f>
        <v>0</v>
      </c>
      <c r="F40" s="28">
        <f>PROGRAMADO!F40/'Anexo '!$B$20</f>
        <v>0</v>
      </c>
      <c r="G40" s="28">
        <f>PROGRAMADO!G40/'Anexo '!$B$20</f>
        <v>0</v>
      </c>
      <c r="H40" s="28">
        <f>PROGRAMADO!H40/'Anexo '!$B$20</f>
        <v>0</v>
      </c>
      <c r="I40" s="28">
        <f>PROGRAMADO!I40/'Anexo '!$C$20</f>
        <v>0</v>
      </c>
      <c r="J40" s="28">
        <f>PROGRAMADO!J40/'Anexo '!$C$20</f>
        <v>0</v>
      </c>
      <c r="K40" s="28">
        <f>PROGRAMADO!K40/'Anexo '!$C$20</f>
        <v>0</v>
      </c>
      <c r="L40" s="28">
        <f>PROGRAMADO!L40/'Anexo '!$C$20</f>
        <v>0</v>
      </c>
      <c r="M40" s="28">
        <f>PROGRAMADO!M40/'Anexo '!$C$20</f>
        <v>0</v>
      </c>
      <c r="N40" s="28">
        <f>PROGRAMADO!N40/'Anexo '!$C$20</f>
        <v>0</v>
      </c>
      <c r="O40" s="28">
        <f>PROGRAMADO!O40/'Anexo '!$C$20</f>
        <v>0</v>
      </c>
      <c r="P40" s="28">
        <f>PROGRAMADO!P40/'Anexo '!$D$20</f>
        <v>0</v>
      </c>
      <c r="Q40" s="28">
        <f>PROGRAMADO!Q40/'Anexo '!$D$20</f>
        <v>0</v>
      </c>
      <c r="R40" s="28">
        <f>PROGRAMADO!R40/'Anexo '!$D$20</f>
        <v>0</v>
      </c>
      <c r="S40" s="28">
        <f>PROGRAMADO!S40/'Anexo '!$D$20</f>
        <v>71030.166170436918</v>
      </c>
      <c r="T40" s="28">
        <f>PROGRAMADO!T40/'Anexo '!$D$20</f>
        <v>0</v>
      </c>
      <c r="U40" s="28">
        <f>PROGRAMADO!U40/'Anexo '!$D$20</f>
        <v>71030.166170436918</v>
      </c>
      <c r="V40" s="28">
        <f>PROGRAMADO!V40/'Anexo '!$D$20</f>
        <v>71030.166170436918</v>
      </c>
      <c r="W40" s="28">
        <f>PROGRAMADO!W40/'Anexo '!$E$13</f>
        <v>0</v>
      </c>
      <c r="X40" s="28">
        <f>PROGRAMADO!X40/'Anexo '!$E$13</f>
        <v>0</v>
      </c>
      <c r="Y40" s="28">
        <f>PROGRAMADO!Y40/'Anexo '!$E$13</f>
        <v>0</v>
      </c>
      <c r="Z40" s="28">
        <f>PROGRAMADO!Z40/'Anexo '!$E$13</f>
        <v>928527.89034455968</v>
      </c>
      <c r="AA40" s="28">
        <f>PROGRAMADO!AA40/'Anexo '!$E$13</f>
        <v>0</v>
      </c>
      <c r="AB40" s="28">
        <f>PROGRAMADO!AB40/'Anexo '!$E$13</f>
        <v>928527.89034455968</v>
      </c>
      <c r="AC40" s="28">
        <f>PROGRAMADO!AC40/'Anexo '!$E$13</f>
        <v>928527.89034455968</v>
      </c>
      <c r="AD40" s="28">
        <f>PROGRAMADO!AD40/'Anexo '!$F$20</f>
        <v>0</v>
      </c>
      <c r="AE40" s="28">
        <f>PROGRAMADO!AE40/'Anexo '!$F$20</f>
        <v>0</v>
      </c>
      <c r="AF40" s="28">
        <f>PROGRAMADO!AF40/'Anexo '!$F$20</f>
        <v>0</v>
      </c>
      <c r="AG40" s="28">
        <f>PROGRAMADO!AG40/'Anexo '!$F$20</f>
        <v>1992892.0000000005</v>
      </c>
      <c r="AH40" s="28">
        <f>PROGRAMADO!AH40/'Anexo '!$F$20</f>
        <v>0</v>
      </c>
      <c r="AI40" s="28">
        <f>PROGRAMADO!AI40/'Anexo '!$F$20</f>
        <v>1992892.0000000005</v>
      </c>
      <c r="AJ40" s="28">
        <f>PROGRAMADO!AJ40/'Anexo '!$F$20</f>
        <v>1992892.0000000005</v>
      </c>
      <c r="AK40" s="28">
        <f>PROGRAMADO!AK40/'Anexo '!$G$20</f>
        <v>0</v>
      </c>
      <c r="AL40" s="28">
        <f>PROGRAMADO!AL40/'Anexo '!$G$20</f>
        <v>0</v>
      </c>
      <c r="AM40" s="28">
        <f>PROGRAMADO!AM40/'Anexo '!$G$20</f>
        <v>0</v>
      </c>
      <c r="AN40" s="28">
        <f>PROGRAMADO!AN40/'Anexo '!$G$20</f>
        <v>3070730.032032412</v>
      </c>
      <c r="AO40" s="28">
        <f>PROGRAMADO!AO40/'Anexo '!$G$20</f>
        <v>0</v>
      </c>
      <c r="AP40" s="28">
        <f>PROGRAMADO!AP40/'Anexo '!$G$20</f>
        <v>3070730.032032412</v>
      </c>
      <c r="AQ40" s="28">
        <f>PROGRAMADO!AQ40/'Anexo '!$G$20</f>
        <v>3070730.032032412</v>
      </c>
      <c r="AR40" s="28">
        <f>PROGRAMADO!AR40/'Anexo '!$H$20</f>
        <v>0</v>
      </c>
      <c r="AS40" s="28">
        <f>PROGRAMADO!AS40/'Anexo '!$H$20</f>
        <v>0</v>
      </c>
      <c r="AT40" s="28">
        <f>PROGRAMADO!AT40/'Anexo '!$H$20</f>
        <v>0</v>
      </c>
      <c r="AU40" s="28">
        <f>PROGRAMADO!AU40/'Anexo '!$H$20</f>
        <v>0</v>
      </c>
      <c r="AV40" s="28">
        <f>PROGRAMADO!AV40/'Anexo '!$H$20</f>
        <v>0</v>
      </c>
      <c r="AW40" s="28">
        <f>PROGRAMADO!AW40/'Anexo '!$H$20</f>
        <v>0</v>
      </c>
      <c r="AX40" s="28">
        <f>PROGRAMADO!AX40/'Anexo '!$H$20</f>
        <v>0</v>
      </c>
      <c r="AY40" s="28">
        <f>PROGRAMADO!AY40/'Anexo '!$I$20</f>
        <v>0</v>
      </c>
      <c r="AZ40" s="28">
        <f>PROGRAMADO!AZ40/'Anexo '!$I$20</f>
        <v>0</v>
      </c>
      <c r="BA40" s="28">
        <f>PROGRAMADO!BA40/'Anexo '!$I$20</f>
        <v>0</v>
      </c>
      <c r="BB40" s="28">
        <f>PROGRAMADO!BB40/'Anexo '!$I$20</f>
        <v>0</v>
      </c>
      <c r="BC40" s="28">
        <f>PROGRAMADO!BC40/'Anexo '!$I$20</f>
        <v>0</v>
      </c>
      <c r="BD40" s="28">
        <f>PROGRAMADO!BD40/'Anexo '!$I$20</f>
        <v>0</v>
      </c>
      <c r="BE40" s="28">
        <f>PROGRAMADO!BE40/'Anexo '!$I$20</f>
        <v>0</v>
      </c>
      <c r="BF40" s="28">
        <f>PROGRAMADO!BF40/'Anexo '!$J$20</f>
        <v>0</v>
      </c>
      <c r="BG40" s="28">
        <f>PROGRAMADO!BG40/'Anexo '!$J$20</f>
        <v>0</v>
      </c>
      <c r="BH40" s="28">
        <f>PROGRAMADO!BH40/'Anexo '!$J$20</f>
        <v>0</v>
      </c>
      <c r="BI40" s="28">
        <f>PROGRAMADO!BI40/'Anexo '!$J$20</f>
        <v>0</v>
      </c>
      <c r="BJ40" s="28">
        <f>PROGRAMADO!BJ40/'Anexo '!$J$20</f>
        <v>0</v>
      </c>
      <c r="BK40" s="28">
        <f>PROGRAMADO!BK40/'Anexo '!$J$20</f>
        <v>0</v>
      </c>
      <c r="BL40" s="28">
        <f>PROGRAMADO!BL40/'Anexo '!$J$20</f>
        <v>0</v>
      </c>
      <c r="BM40" s="28">
        <f>PROGRAMADO!BM40/'Anexo '!$K$20</f>
        <v>0</v>
      </c>
      <c r="BN40" s="28">
        <f>PROGRAMADO!BN40/'Anexo '!$K$20</f>
        <v>0</v>
      </c>
      <c r="BO40" s="28">
        <f>PROGRAMADO!BO40/'Anexo '!$K$20</f>
        <v>0</v>
      </c>
      <c r="BP40" s="28">
        <f>PROGRAMADO!BP40/'Anexo '!$K$20</f>
        <v>0</v>
      </c>
      <c r="BQ40" s="28">
        <f>PROGRAMADO!BQ40/'Anexo '!$K$20</f>
        <v>0</v>
      </c>
      <c r="BR40" s="28">
        <f>PROGRAMADO!BR40/'Anexo '!$K$20</f>
        <v>0</v>
      </c>
      <c r="BS40" s="28">
        <f>PROGRAMADO!BS40/'Anexo '!$K$20</f>
        <v>0</v>
      </c>
      <c r="BT40" s="28">
        <f>PROGRAMADO!BT40/'Anexo '!$L$20</f>
        <v>0</v>
      </c>
      <c r="BU40" s="28">
        <f>PROGRAMADO!BU40/'Anexo '!$L$20</f>
        <v>0</v>
      </c>
      <c r="BV40" s="28">
        <f>PROGRAMADO!BV40/'Anexo '!$L$20</f>
        <v>0</v>
      </c>
      <c r="BW40" s="28">
        <f>PROGRAMADO!BW40/'Anexo '!$L$20</f>
        <v>0</v>
      </c>
      <c r="BX40" s="28">
        <f>PROGRAMADO!BX40/'Anexo '!$L$20</f>
        <v>0</v>
      </c>
      <c r="BY40" s="28">
        <f>PROGRAMADO!BY40/'Anexo '!$L$20</f>
        <v>0</v>
      </c>
      <c r="BZ40" s="28">
        <f>PROGRAMADO!BZ40/'Anexo '!$L$20</f>
        <v>0</v>
      </c>
      <c r="CA40" s="28">
        <f>PROGRAMADO!CA40/'Anexo '!$L$20</f>
        <v>0</v>
      </c>
      <c r="CB40" s="28">
        <f>PROGRAMADO!CB40/'Anexo '!$M$20</f>
        <v>0</v>
      </c>
      <c r="CC40" s="28">
        <f>PROGRAMADO!CC40/'Anexo '!$M$20</f>
        <v>0</v>
      </c>
      <c r="CD40" s="28">
        <f>PROGRAMADO!CD40/'Anexo '!$M$20</f>
        <v>0</v>
      </c>
      <c r="CE40" s="28">
        <f>PROGRAMADO!CE40/'Anexo '!$M$20</f>
        <v>0</v>
      </c>
      <c r="CF40" s="28">
        <f>PROGRAMADO!CF40/'Anexo '!$M$20</f>
        <v>0</v>
      </c>
      <c r="CG40" s="28">
        <f>PROGRAMADO!CG40/'Anexo '!$M$20</f>
        <v>0</v>
      </c>
      <c r="CH40" s="28">
        <f>PROGRAMADO!CH40/'Anexo '!$M$20</f>
        <v>0</v>
      </c>
      <c r="CI40" s="29">
        <f>PROGRAMADO!CI40/'Anexo '!$M$20</f>
        <v>0</v>
      </c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 t="s">
        <v>45</v>
      </c>
      <c r="CW40" s="3" t="s">
        <v>45</v>
      </c>
    </row>
    <row r="41" spans="1:101" x14ac:dyDescent="0.25">
      <c r="A41" s="23" t="s">
        <v>37</v>
      </c>
      <c r="B41" s="28">
        <f>PROGRAMADO!B41/'Anexo '!$B$20</f>
        <v>0</v>
      </c>
      <c r="C41" s="28">
        <f>PROGRAMADO!C41/'Anexo '!$B$20</f>
        <v>9768137.6845429149</v>
      </c>
      <c r="D41" s="28">
        <f>PROGRAMADO!D41/'Anexo '!$B$20</f>
        <v>9768137.6845429149</v>
      </c>
      <c r="E41" s="28">
        <f>PROGRAMADO!E41/'Anexo '!$B$20</f>
        <v>0</v>
      </c>
      <c r="F41" s="28">
        <f>PROGRAMADO!F41/'Anexo '!$B$20</f>
        <v>0</v>
      </c>
      <c r="G41" s="28">
        <f>PROGRAMADO!G41/'Anexo '!$B$20</f>
        <v>0</v>
      </c>
      <c r="H41" s="28">
        <f>PROGRAMADO!H41/'Anexo '!$B$20</f>
        <v>9768137.6845429149</v>
      </c>
      <c r="I41" s="28">
        <f>PROGRAMADO!I41/'Anexo '!$C$20</f>
        <v>0</v>
      </c>
      <c r="J41" s="28">
        <f>PROGRAMADO!J41/'Anexo '!$C$20</f>
        <v>0</v>
      </c>
      <c r="K41" s="28">
        <f>PROGRAMADO!K41/'Anexo '!$C$20</f>
        <v>0</v>
      </c>
      <c r="L41" s="28">
        <f>PROGRAMADO!L41/'Anexo '!$C$20</f>
        <v>0</v>
      </c>
      <c r="M41" s="28">
        <f>PROGRAMADO!M41/'Anexo '!$C$20</f>
        <v>0</v>
      </c>
      <c r="N41" s="28">
        <f>PROGRAMADO!N41/'Anexo '!$C$20</f>
        <v>0</v>
      </c>
      <c r="O41" s="28">
        <f>PROGRAMADO!O41/'Anexo '!$C$20</f>
        <v>0</v>
      </c>
      <c r="P41" s="28">
        <f>PROGRAMADO!P41/'Anexo '!$D$20</f>
        <v>0</v>
      </c>
      <c r="Q41" s="28">
        <f>PROGRAMADO!Q41/'Anexo '!$D$20</f>
        <v>0</v>
      </c>
      <c r="R41" s="28">
        <f>PROGRAMADO!R41/'Anexo '!$D$20</f>
        <v>0</v>
      </c>
      <c r="S41" s="28">
        <f>PROGRAMADO!S41/'Anexo '!$D$20</f>
        <v>0</v>
      </c>
      <c r="T41" s="28">
        <f>PROGRAMADO!T41/'Anexo '!$D$20</f>
        <v>0</v>
      </c>
      <c r="U41" s="28">
        <f>PROGRAMADO!U41/'Anexo '!$D$20</f>
        <v>0</v>
      </c>
      <c r="V41" s="28">
        <f>PROGRAMADO!V41/'Anexo '!$D$20</f>
        <v>0</v>
      </c>
      <c r="W41" s="28">
        <f>PROGRAMADO!W41/'Anexo '!$E$13</f>
        <v>0</v>
      </c>
      <c r="X41" s="28">
        <f>PROGRAMADO!X41/'Anexo '!$E$13</f>
        <v>7807441.7206149157</v>
      </c>
      <c r="Y41" s="28">
        <f>PROGRAMADO!Y41/'Anexo '!$E$13</f>
        <v>7807441.7206149157</v>
      </c>
      <c r="Z41" s="28">
        <f>PROGRAMADO!Z41/'Anexo '!$E$13</f>
        <v>0</v>
      </c>
      <c r="AA41" s="28">
        <f>PROGRAMADO!AA41/'Anexo '!$E$13</f>
        <v>0</v>
      </c>
      <c r="AB41" s="28">
        <f>PROGRAMADO!AB41/'Anexo '!$E$13</f>
        <v>0</v>
      </c>
      <c r="AC41" s="28">
        <f>PROGRAMADO!AC41/'Anexo '!$E$13</f>
        <v>7807441.7206149157</v>
      </c>
      <c r="AD41" s="28">
        <f>PROGRAMADO!AD41/'Anexo '!$F$20</f>
        <v>0</v>
      </c>
      <c r="AE41" s="28">
        <f>PROGRAMADO!AE41/'Anexo '!$F$20</f>
        <v>0</v>
      </c>
      <c r="AF41" s="28">
        <f>PROGRAMADO!AF41/'Anexo '!$F$20</f>
        <v>0</v>
      </c>
      <c r="AG41" s="28">
        <f>PROGRAMADO!AG41/'Anexo '!$F$20</f>
        <v>0</v>
      </c>
      <c r="AH41" s="28">
        <f>PROGRAMADO!AH41/'Anexo '!$F$20</f>
        <v>0</v>
      </c>
      <c r="AI41" s="28">
        <f>PROGRAMADO!AI41/'Anexo '!$F$20</f>
        <v>0</v>
      </c>
      <c r="AJ41" s="28">
        <f>PROGRAMADO!AJ41/'Anexo '!$F$20</f>
        <v>0</v>
      </c>
      <c r="AK41" s="28">
        <f>PROGRAMADO!AK41/'Anexo '!$G$20</f>
        <v>0</v>
      </c>
      <c r="AL41" s="28">
        <f>PROGRAMADO!AL41/'Anexo '!$G$20</f>
        <v>0</v>
      </c>
      <c r="AM41" s="28">
        <f>PROGRAMADO!AM41/'Anexo '!$G$20</f>
        <v>0</v>
      </c>
      <c r="AN41" s="28">
        <f>PROGRAMADO!AN41/'Anexo '!$G$20</f>
        <v>0</v>
      </c>
      <c r="AO41" s="28">
        <f>PROGRAMADO!AO41/'Anexo '!$G$20</f>
        <v>0</v>
      </c>
      <c r="AP41" s="28">
        <f>PROGRAMADO!AP41/'Anexo '!$G$20</f>
        <v>0</v>
      </c>
      <c r="AQ41" s="28">
        <f>PROGRAMADO!AQ41/'Anexo '!$G$20</f>
        <v>0</v>
      </c>
      <c r="AR41" s="28">
        <f>PROGRAMADO!AR41/'Anexo '!$H$20</f>
        <v>0</v>
      </c>
      <c r="AS41" s="28">
        <f>PROGRAMADO!AS41/'Anexo '!$H$20</f>
        <v>0</v>
      </c>
      <c r="AT41" s="28">
        <f>PROGRAMADO!AT41/'Anexo '!$H$20</f>
        <v>0</v>
      </c>
      <c r="AU41" s="28">
        <f>PROGRAMADO!AU41/'Anexo '!$H$20</f>
        <v>0</v>
      </c>
      <c r="AV41" s="28">
        <f>PROGRAMADO!AV41/'Anexo '!$H$20</f>
        <v>0</v>
      </c>
      <c r="AW41" s="28">
        <f>PROGRAMADO!AW41/'Anexo '!$H$20</f>
        <v>0</v>
      </c>
      <c r="AX41" s="28">
        <f>PROGRAMADO!AX41/'Anexo '!$H$20</f>
        <v>0</v>
      </c>
      <c r="AY41" s="28">
        <f>PROGRAMADO!AY41/'Anexo '!$I$20</f>
        <v>0</v>
      </c>
      <c r="AZ41" s="28">
        <f>PROGRAMADO!AZ41/'Anexo '!$I$20</f>
        <v>0</v>
      </c>
      <c r="BA41" s="28">
        <f>PROGRAMADO!BA41/'Anexo '!$I$20</f>
        <v>0</v>
      </c>
      <c r="BB41" s="28">
        <f>PROGRAMADO!BB41/'Anexo '!$I$20</f>
        <v>0</v>
      </c>
      <c r="BC41" s="28">
        <f>PROGRAMADO!BC41/'Anexo '!$I$20</f>
        <v>0</v>
      </c>
      <c r="BD41" s="28">
        <f>PROGRAMADO!BD41/'Anexo '!$I$20</f>
        <v>0</v>
      </c>
      <c r="BE41" s="28">
        <f>PROGRAMADO!BE41/'Anexo '!$I$20</f>
        <v>0</v>
      </c>
      <c r="BF41" s="28">
        <f>PROGRAMADO!BF41/'Anexo '!$J$20</f>
        <v>0</v>
      </c>
      <c r="BG41" s="28">
        <f>PROGRAMADO!BG41/'Anexo '!$J$20</f>
        <v>0</v>
      </c>
      <c r="BH41" s="28">
        <f>PROGRAMADO!BH41/'Anexo '!$J$20</f>
        <v>0</v>
      </c>
      <c r="BI41" s="28">
        <f>PROGRAMADO!BI41/'Anexo '!$J$20</f>
        <v>0</v>
      </c>
      <c r="BJ41" s="28">
        <f>PROGRAMADO!BJ41/'Anexo '!$J$20</f>
        <v>0</v>
      </c>
      <c r="BK41" s="28">
        <f>PROGRAMADO!BK41/'Anexo '!$J$20</f>
        <v>0</v>
      </c>
      <c r="BL41" s="28">
        <f>PROGRAMADO!BL41/'Anexo '!$J$20</f>
        <v>0</v>
      </c>
      <c r="BM41" s="28">
        <f>PROGRAMADO!BM41/'Anexo '!$K$20</f>
        <v>0</v>
      </c>
      <c r="BN41" s="28">
        <f>PROGRAMADO!BN41/'Anexo '!$K$20</f>
        <v>0</v>
      </c>
      <c r="BO41" s="28">
        <f>PROGRAMADO!BO41/'Anexo '!$K$20</f>
        <v>0</v>
      </c>
      <c r="BP41" s="28">
        <f>PROGRAMADO!BP41/'Anexo '!$K$20</f>
        <v>0</v>
      </c>
      <c r="BQ41" s="28">
        <f>PROGRAMADO!BQ41/'Anexo '!$K$20</f>
        <v>0</v>
      </c>
      <c r="BR41" s="28">
        <f>PROGRAMADO!BR41/'Anexo '!$K$20</f>
        <v>0</v>
      </c>
      <c r="BS41" s="28">
        <f>PROGRAMADO!BS41/'Anexo '!$K$20</f>
        <v>0</v>
      </c>
      <c r="BT41" s="28">
        <f>PROGRAMADO!BT41/'Anexo '!$L$20</f>
        <v>0</v>
      </c>
      <c r="BU41" s="28">
        <f>PROGRAMADO!BU41/'Anexo '!$L$20</f>
        <v>0</v>
      </c>
      <c r="BV41" s="28">
        <f>PROGRAMADO!BV41/'Anexo '!$L$20</f>
        <v>0</v>
      </c>
      <c r="BW41" s="28">
        <f>PROGRAMADO!BW41/'Anexo '!$L$20</f>
        <v>0</v>
      </c>
      <c r="BX41" s="28">
        <f>PROGRAMADO!BX41/'Anexo '!$L$20</f>
        <v>0</v>
      </c>
      <c r="BY41" s="28">
        <f>PROGRAMADO!BY41/'Anexo '!$L$20</f>
        <v>0</v>
      </c>
      <c r="BZ41" s="28">
        <f>PROGRAMADO!BZ41/'Anexo '!$L$20</f>
        <v>0</v>
      </c>
      <c r="CA41" s="28">
        <f>PROGRAMADO!CA41/'Anexo '!$L$20</f>
        <v>0</v>
      </c>
      <c r="CB41" s="28">
        <f>PROGRAMADO!CB41/'Anexo '!$M$20</f>
        <v>0</v>
      </c>
      <c r="CC41" s="28">
        <f>PROGRAMADO!CC41/'Anexo '!$M$20</f>
        <v>0</v>
      </c>
      <c r="CD41" s="28">
        <f>PROGRAMADO!CD41/'Anexo '!$M$20</f>
        <v>0</v>
      </c>
      <c r="CE41" s="28">
        <f>PROGRAMADO!CE41/'Anexo '!$M$20</f>
        <v>0</v>
      </c>
      <c r="CF41" s="28">
        <f>PROGRAMADO!CF41/'Anexo '!$M$20</f>
        <v>0</v>
      </c>
      <c r="CG41" s="28">
        <f>PROGRAMADO!CG41/'Anexo '!$M$20</f>
        <v>0</v>
      </c>
      <c r="CH41" s="28">
        <f>PROGRAMADO!CH41/'Anexo '!$M$20</f>
        <v>0</v>
      </c>
      <c r="CI41" s="29">
        <f>PROGRAMADO!CI41/'Anexo '!$M$20</f>
        <v>0</v>
      </c>
    </row>
    <row r="42" spans="1:101" x14ac:dyDescent="0.25">
      <c r="A42" s="23" t="s">
        <v>36</v>
      </c>
      <c r="B42" s="28">
        <f>PROGRAMADO!B42/'Anexo '!$B$20</f>
        <v>0</v>
      </c>
      <c r="C42" s="28">
        <f>PROGRAMADO!C42/'Anexo '!$B$20</f>
        <v>29445626.943227753</v>
      </c>
      <c r="D42" s="28">
        <f>PROGRAMADO!D42/'Anexo '!$B$20</f>
        <v>29445626.943227753</v>
      </c>
      <c r="E42" s="28">
        <f>PROGRAMADO!E42/'Anexo '!$B$20</f>
        <v>13874254.683230236</v>
      </c>
      <c r="F42" s="28">
        <f>PROGRAMADO!F42/'Anexo '!$B$20</f>
        <v>19270217.304420765</v>
      </c>
      <c r="G42" s="28">
        <f>PROGRAMADO!G42/'Anexo '!$B$20</f>
        <v>33144471.987650998</v>
      </c>
      <c r="H42" s="28">
        <f>PROGRAMADO!H42/'Anexo '!$B$20</f>
        <v>62590098.930878744</v>
      </c>
      <c r="I42" s="28">
        <f>PROGRAMADO!I42/'Anexo '!$C$20</f>
        <v>0</v>
      </c>
      <c r="J42" s="28">
        <f>PROGRAMADO!J42/'Anexo '!$C$20</f>
        <v>18551621.059355922</v>
      </c>
      <c r="K42" s="28">
        <f>PROGRAMADO!K42/'Anexo '!$C$20</f>
        <v>18551621.059355922</v>
      </c>
      <c r="L42" s="28">
        <f>PROGRAMADO!L42/'Anexo '!$C$20</f>
        <v>3673714.1881279028</v>
      </c>
      <c r="M42" s="28">
        <f>PROGRAMADO!M42/'Anexo '!$C$20</f>
        <v>16879844.201773275</v>
      </c>
      <c r="N42" s="28">
        <f>PROGRAMADO!N42/'Anexo '!$C$20</f>
        <v>20553558.38990118</v>
      </c>
      <c r="O42" s="28">
        <f>PROGRAMADO!O42/'Anexo '!$C$20</f>
        <v>39105179.449257098</v>
      </c>
      <c r="P42" s="28">
        <f>PROGRAMADO!P42/'Anexo '!$D$20</f>
        <v>0</v>
      </c>
      <c r="Q42" s="28">
        <f>PROGRAMADO!Q42/'Anexo '!$D$20</f>
        <v>0</v>
      </c>
      <c r="R42" s="28">
        <f>PROGRAMADO!R42/'Anexo '!$D$20</f>
        <v>0</v>
      </c>
      <c r="S42" s="28">
        <f>PROGRAMADO!S42/'Anexo '!$D$20</f>
        <v>0</v>
      </c>
      <c r="T42" s="28">
        <f>PROGRAMADO!T42/'Anexo '!$D$20</f>
        <v>0</v>
      </c>
      <c r="U42" s="28">
        <f>PROGRAMADO!U42/'Anexo '!$D$20</f>
        <v>0</v>
      </c>
      <c r="V42" s="28">
        <f>PROGRAMADO!V42/'Anexo '!$D$20</f>
        <v>0</v>
      </c>
      <c r="W42" s="28">
        <f>PROGRAMADO!W42/'Anexo '!$E$13</f>
        <v>0</v>
      </c>
      <c r="X42" s="28">
        <f>PROGRAMADO!X42/'Anexo '!$E$13</f>
        <v>0</v>
      </c>
      <c r="Y42" s="28">
        <f>PROGRAMADO!Y42/'Anexo '!$E$13</f>
        <v>0</v>
      </c>
      <c r="Z42" s="28">
        <f>PROGRAMADO!Z42/'Anexo '!$E$13</f>
        <v>0</v>
      </c>
      <c r="AA42" s="28">
        <f>PROGRAMADO!AA42/'Anexo '!$E$13</f>
        <v>0</v>
      </c>
      <c r="AB42" s="28">
        <f>PROGRAMADO!AB42/'Anexo '!$E$13</f>
        <v>0</v>
      </c>
      <c r="AC42" s="28">
        <f>PROGRAMADO!AC42/'Anexo '!$E$13</f>
        <v>0</v>
      </c>
      <c r="AD42" s="28">
        <f>PROGRAMADO!AD42/'Anexo '!$F$20</f>
        <v>0</v>
      </c>
      <c r="AE42" s="28">
        <f>PROGRAMADO!AE42/'Anexo '!$F$20</f>
        <v>0</v>
      </c>
      <c r="AF42" s="28">
        <f>PROGRAMADO!AF42/'Anexo '!$F$20</f>
        <v>0</v>
      </c>
      <c r="AG42" s="28">
        <f>PROGRAMADO!AG42/'Anexo '!$F$20</f>
        <v>0</v>
      </c>
      <c r="AH42" s="28">
        <f>PROGRAMADO!AH42/'Anexo '!$F$20</f>
        <v>0</v>
      </c>
      <c r="AI42" s="28">
        <f>PROGRAMADO!AI42/'Anexo '!$F$20</f>
        <v>0</v>
      </c>
      <c r="AJ42" s="28">
        <f>PROGRAMADO!AJ42/'Anexo '!$F$20</f>
        <v>0</v>
      </c>
      <c r="AK42" s="28">
        <f>PROGRAMADO!AK42/'Anexo '!$G$20</f>
        <v>0</v>
      </c>
      <c r="AL42" s="28">
        <f>PROGRAMADO!AL42/'Anexo '!$G$20</f>
        <v>0</v>
      </c>
      <c r="AM42" s="28">
        <f>PROGRAMADO!AM42/'Anexo '!$G$20</f>
        <v>0</v>
      </c>
      <c r="AN42" s="28">
        <f>PROGRAMADO!AN42/'Anexo '!$G$20</f>
        <v>0</v>
      </c>
      <c r="AO42" s="28">
        <f>PROGRAMADO!AO42/'Anexo '!$G$20</f>
        <v>0</v>
      </c>
      <c r="AP42" s="28">
        <f>PROGRAMADO!AP42/'Anexo '!$G$20</f>
        <v>0</v>
      </c>
      <c r="AQ42" s="28">
        <f>PROGRAMADO!AQ42/'Anexo '!$G$20</f>
        <v>0</v>
      </c>
      <c r="AR42" s="28">
        <f>PROGRAMADO!AR42/'Anexo '!$H$20</f>
        <v>0</v>
      </c>
      <c r="AS42" s="28">
        <f>PROGRAMADO!AS42/'Anexo '!$H$20</f>
        <v>0</v>
      </c>
      <c r="AT42" s="28">
        <f>PROGRAMADO!AT42/'Anexo '!$H$20</f>
        <v>0</v>
      </c>
      <c r="AU42" s="28">
        <f>PROGRAMADO!AU42/'Anexo '!$H$20</f>
        <v>0</v>
      </c>
      <c r="AV42" s="28">
        <f>PROGRAMADO!AV42/'Anexo '!$H$20</f>
        <v>0</v>
      </c>
      <c r="AW42" s="28">
        <f>PROGRAMADO!AW42/'Anexo '!$H$20</f>
        <v>0</v>
      </c>
      <c r="AX42" s="28">
        <f>PROGRAMADO!AX42/'Anexo '!$H$20</f>
        <v>0</v>
      </c>
      <c r="AY42" s="28">
        <f>PROGRAMADO!AY42/'Anexo '!$I$20</f>
        <v>0</v>
      </c>
      <c r="AZ42" s="28">
        <f>PROGRAMADO!AZ42/'Anexo '!$I$20</f>
        <v>0</v>
      </c>
      <c r="BA42" s="28">
        <f>PROGRAMADO!BA42/'Anexo '!$I$20</f>
        <v>0</v>
      </c>
      <c r="BB42" s="28">
        <f>PROGRAMADO!BB42/'Anexo '!$I$20</f>
        <v>0</v>
      </c>
      <c r="BC42" s="28">
        <f>PROGRAMADO!BC42/'Anexo '!$I$20</f>
        <v>0</v>
      </c>
      <c r="BD42" s="28">
        <f>PROGRAMADO!BD42/'Anexo '!$I$20</f>
        <v>0</v>
      </c>
      <c r="BE42" s="28">
        <f>PROGRAMADO!BE42/'Anexo '!$I$20</f>
        <v>0</v>
      </c>
      <c r="BF42" s="28">
        <f>PROGRAMADO!BF42/'Anexo '!$J$20</f>
        <v>0</v>
      </c>
      <c r="BG42" s="28">
        <f>PROGRAMADO!BG42/'Anexo '!$J$20</f>
        <v>28150940.281645592</v>
      </c>
      <c r="BH42" s="28">
        <f>PROGRAMADO!BH42/'Anexo '!$J$20</f>
        <v>28150940.281645592</v>
      </c>
      <c r="BI42" s="28">
        <f>PROGRAMADO!BI42/'Anexo '!$J$20</f>
        <v>837256.04524462612</v>
      </c>
      <c r="BJ42" s="28">
        <f>PROGRAMADO!BJ42/'Anexo '!$J$20</f>
        <v>132064022.17236683</v>
      </c>
      <c r="BK42" s="28">
        <f>PROGRAMADO!BK42/'Anexo '!$J$20</f>
        <v>132901278.21761146</v>
      </c>
      <c r="BL42" s="28">
        <f>PROGRAMADO!BL42/'Anexo '!$J$20</f>
        <v>161052218.49925706</v>
      </c>
      <c r="BM42" s="28">
        <f>PROGRAMADO!BM42/'Anexo '!$K$20</f>
        <v>0</v>
      </c>
      <c r="BN42" s="28">
        <f>PROGRAMADO!BN42/'Anexo '!$K$20</f>
        <v>27847732.509884231</v>
      </c>
      <c r="BO42" s="28">
        <f>PROGRAMADO!BO42/'Anexo '!$K$20</f>
        <v>27847732.509884231</v>
      </c>
      <c r="BP42" s="28">
        <f>PROGRAMADO!BP42/'Anexo '!$K$20</f>
        <v>41229833.23382473</v>
      </c>
      <c r="BQ42" s="28">
        <f>PROGRAMADO!BQ42/'Anexo '!$K$20</f>
        <v>65537589.584745422</v>
      </c>
      <c r="BR42" s="28">
        <f>PROGRAMADO!BR42/'Anexo '!$K$20</f>
        <v>106767422.81857015</v>
      </c>
      <c r="BS42" s="28">
        <f>PROGRAMADO!BS42/'Anexo '!$K$20</f>
        <v>134615155.32845438</v>
      </c>
      <c r="BT42" s="28">
        <f>PROGRAMADO!BT42/'Anexo '!$L$20</f>
        <v>0</v>
      </c>
      <c r="BU42" s="28">
        <f>PROGRAMADO!BU42/'Anexo '!$L$20</f>
        <v>19692236.86446622</v>
      </c>
      <c r="BV42" s="28">
        <f>PROGRAMADO!BV42/'Anexo '!$L$20</f>
        <v>0</v>
      </c>
      <c r="BW42" s="28">
        <f>PROGRAMADO!BW42/'Anexo '!$L$20</f>
        <v>19692236.86446622</v>
      </c>
      <c r="BX42" s="28">
        <f>PROGRAMADO!BX42/'Anexo '!$L$20</f>
        <v>46208690.578477032</v>
      </c>
      <c r="BY42" s="28">
        <f>PROGRAMADO!BY42/'Anexo '!$L$20</f>
        <v>16565922.178642439</v>
      </c>
      <c r="BZ42" s="28">
        <f>PROGRAMADO!BZ42/'Anexo '!$L$20</f>
        <v>62774612.757119469</v>
      </c>
      <c r="CA42" s="28">
        <f>PROGRAMADO!CA42/'Anexo '!$L$20</f>
        <v>82466849.621585682</v>
      </c>
      <c r="CB42" s="28">
        <f>PROGRAMADO!CB42/'Anexo '!$M$20</f>
        <v>0</v>
      </c>
      <c r="CC42" s="28">
        <f>PROGRAMADO!CC42/'Anexo '!$M$20</f>
        <v>34482950.282765292</v>
      </c>
      <c r="CD42" s="28">
        <f>PROGRAMADO!CD42/'Anexo '!$M$20</f>
        <v>0</v>
      </c>
      <c r="CE42" s="28">
        <f>PROGRAMADO!CE42/'Anexo '!$M$20</f>
        <v>34482950.282765292</v>
      </c>
      <c r="CF42" s="28">
        <f>PROGRAMADO!CF42/'Anexo '!$M$20</f>
        <v>8279923.6194715798</v>
      </c>
      <c r="CG42" s="28">
        <f>PROGRAMADO!CG42/'Anexo '!$M$20</f>
        <v>91467719.195698172</v>
      </c>
      <c r="CH42" s="28">
        <f>PROGRAMADO!CH42/'Anexo '!$M$20</f>
        <v>99747642.815169722</v>
      </c>
      <c r="CI42" s="29">
        <f>PROGRAMADO!CI42/'Anexo '!$M$20</f>
        <v>134230593.09793502</v>
      </c>
    </row>
    <row r="43" spans="1:101" x14ac:dyDescent="0.25">
      <c r="A43" s="23" t="s">
        <v>73</v>
      </c>
      <c r="B43" s="28">
        <f>PROGRAMADO!B43/'Anexo '!$B$20</f>
        <v>0</v>
      </c>
      <c r="C43" s="28">
        <f>PROGRAMADO!C43/'Anexo '!$B$20</f>
        <v>0</v>
      </c>
      <c r="D43" s="28">
        <f>PROGRAMADO!D43/'Anexo '!$B$20</f>
        <v>0</v>
      </c>
      <c r="E43" s="28">
        <f>PROGRAMADO!E43/'Anexo '!$B$20</f>
        <v>0</v>
      </c>
      <c r="F43" s="28">
        <f>PROGRAMADO!F43/'Anexo '!$B$20</f>
        <v>0</v>
      </c>
      <c r="G43" s="28">
        <f>PROGRAMADO!G43/'Anexo '!$B$20</f>
        <v>0</v>
      </c>
      <c r="H43" s="28">
        <f>PROGRAMADO!H43/'Anexo '!$B$20</f>
        <v>0</v>
      </c>
      <c r="I43" s="28">
        <f>PROGRAMADO!I43/'Anexo '!$C$20</f>
        <v>0</v>
      </c>
      <c r="J43" s="28">
        <f>PROGRAMADO!J43/'Anexo '!$C$20</f>
        <v>0</v>
      </c>
      <c r="K43" s="28">
        <f>PROGRAMADO!K43/'Anexo '!$C$20</f>
        <v>0</v>
      </c>
      <c r="L43" s="28">
        <f>PROGRAMADO!L43/'Anexo '!$C$20</f>
        <v>0</v>
      </c>
      <c r="M43" s="28">
        <f>PROGRAMADO!M43/'Anexo '!$C$20</f>
        <v>0</v>
      </c>
      <c r="N43" s="28">
        <f>PROGRAMADO!N43/'Anexo '!$C$20</f>
        <v>0</v>
      </c>
      <c r="O43" s="28">
        <f>PROGRAMADO!O43/'Anexo '!$C$20</f>
        <v>0</v>
      </c>
      <c r="P43" s="28">
        <f>PROGRAMADO!P43/'Anexo '!$D$20</f>
        <v>0</v>
      </c>
      <c r="Q43" s="28">
        <f>PROGRAMADO!Q43/'Anexo '!$D$20</f>
        <v>1500529.9981833191</v>
      </c>
      <c r="R43" s="28">
        <f>PROGRAMADO!R43/'Anexo '!$D$20</f>
        <v>1500529.9981833191</v>
      </c>
      <c r="S43" s="28">
        <f>PROGRAMADO!S43/'Anexo '!$D$20</f>
        <v>0</v>
      </c>
      <c r="T43" s="28">
        <f>PROGRAMADO!T43/'Anexo '!$D$20</f>
        <v>0</v>
      </c>
      <c r="U43" s="28">
        <f>PROGRAMADO!U43/'Anexo '!$D$20</f>
        <v>0</v>
      </c>
      <c r="V43" s="28">
        <f>PROGRAMADO!V43/'Anexo '!$D$20</f>
        <v>1500529.9981833191</v>
      </c>
      <c r="W43" s="28">
        <f>PROGRAMADO!W43/'Anexo '!$E$13</f>
        <v>0</v>
      </c>
      <c r="X43" s="28">
        <f>PROGRAMADO!X43/'Anexo '!$E$13</f>
        <v>2398130.4528576257</v>
      </c>
      <c r="Y43" s="28">
        <f>PROGRAMADO!Y43/'Anexo '!$E$13</f>
        <v>2398130.4528576257</v>
      </c>
      <c r="Z43" s="28">
        <f>PROGRAMADO!Z43/'Anexo '!$E$13</f>
        <v>0</v>
      </c>
      <c r="AA43" s="28">
        <f>PROGRAMADO!AA43/'Anexo '!$E$13</f>
        <v>0</v>
      </c>
      <c r="AB43" s="28">
        <f>PROGRAMADO!AB43/'Anexo '!$E$13</f>
        <v>0</v>
      </c>
      <c r="AC43" s="28">
        <f>PROGRAMADO!AC43/'Anexo '!$E$13</f>
        <v>2398130.4528576257</v>
      </c>
      <c r="AD43" s="28">
        <f>PROGRAMADO!AD43/'Anexo '!$F$20</f>
        <v>0</v>
      </c>
      <c r="AE43" s="28">
        <f>PROGRAMADO!AE43/'Anexo '!$F$20</f>
        <v>2256000.0000000005</v>
      </c>
      <c r="AF43" s="28">
        <f>PROGRAMADO!AF43/'Anexo '!$F$20</f>
        <v>2256000.0000000005</v>
      </c>
      <c r="AG43" s="28">
        <f>PROGRAMADO!AG43/'Anexo '!$F$20</f>
        <v>0</v>
      </c>
      <c r="AH43" s="28">
        <f>PROGRAMADO!AH43/'Anexo '!$F$20</f>
        <v>0</v>
      </c>
      <c r="AI43" s="28">
        <f>PROGRAMADO!AI43/'Anexo '!$F$20</f>
        <v>0</v>
      </c>
      <c r="AJ43" s="28">
        <f>PROGRAMADO!AJ43/'Anexo '!$F$20</f>
        <v>2256000.0000000005</v>
      </c>
      <c r="AK43" s="28">
        <f>PROGRAMADO!AK43/'Anexo '!$G$20</f>
        <v>0</v>
      </c>
      <c r="AL43" s="28">
        <f>PROGRAMADO!AL43/'Anexo '!$G$20</f>
        <v>2565012.2222864209</v>
      </c>
      <c r="AM43" s="28">
        <f>PROGRAMADO!AM43/'Anexo '!$G$20</f>
        <v>2565012.2222864209</v>
      </c>
      <c r="AN43" s="28">
        <f>PROGRAMADO!AN43/'Anexo '!$G$20</f>
        <v>0</v>
      </c>
      <c r="AO43" s="28">
        <f>PROGRAMADO!AO43/'Anexo '!$G$20</f>
        <v>0</v>
      </c>
      <c r="AP43" s="28">
        <f>PROGRAMADO!AP43/'Anexo '!$G$20</f>
        <v>0</v>
      </c>
      <c r="AQ43" s="28">
        <f>PROGRAMADO!AQ43/'Anexo '!$G$20</f>
        <v>2565012.2222864209</v>
      </c>
      <c r="AR43" s="28">
        <f>PROGRAMADO!AR43/'Anexo '!$H$20</f>
        <v>0</v>
      </c>
      <c r="AS43" s="28">
        <f>PROGRAMADO!AS43/'Anexo '!$H$20</f>
        <v>2692556.473319137</v>
      </c>
      <c r="AT43" s="28">
        <f>PROGRAMADO!AT43/'Anexo '!$H$20</f>
        <v>2692556.473319137</v>
      </c>
      <c r="AU43" s="28">
        <f>PROGRAMADO!AU43/'Anexo '!$H$20</f>
        <v>0</v>
      </c>
      <c r="AV43" s="28">
        <f>PROGRAMADO!AV43/'Anexo '!$H$20</f>
        <v>0</v>
      </c>
      <c r="AW43" s="28">
        <f>PROGRAMADO!AW43/'Anexo '!$H$20</f>
        <v>0</v>
      </c>
      <c r="AX43" s="28">
        <f>PROGRAMADO!AX43/'Anexo '!$H$20</f>
        <v>2692556.473319137</v>
      </c>
      <c r="AY43" s="28">
        <f>PROGRAMADO!AY43/'Anexo '!$I$20</f>
        <v>0</v>
      </c>
      <c r="AZ43" s="28">
        <f>PROGRAMADO!AZ43/'Anexo '!$I$20</f>
        <v>2963319.8655664413</v>
      </c>
      <c r="BA43" s="28">
        <f>PROGRAMADO!BA43/'Anexo '!$I$20</f>
        <v>2963319.8655664413</v>
      </c>
      <c r="BB43" s="28">
        <f>PROGRAMADO!BB43/'Anexo '!$I$20</f>
        <v>0</v>
      </c>
      <c r="BC43" s="28">
        <f>PROGRAMADO!BC43/'Anexo '!$I$20</f>
        <v>0</v>
      </c>
      <c r="BD43" s="28">
        <f>PROGRAMADO!BD43/'Anexo '!$I$20</f>
        <v>0</v>
      </c>
      <c r="BE43" s="28">
        <f>PROGRAMADO!BE43/'Anexo '!$I$20</f>
        <v>2963319.8655664413</v>
      </c>
      <c r="BF43" s="28">
        <f>PROGRAMADO!BF43/'Anexo '!$J$20</f>
        <v>0</v>
      </c>
      <c r="BG43" s="28">
        <f>PROGRAMADO!BG43/'Anexo '!$J$20</f>
        <v>1925688.9040626402</v>
      </c>
      <c r="BH43" s="28">
        <f>PROGRAMADO!BH43/'Anexo '!$J$20</f>
        <v>1925688.9040626402</v>
      </c>
      <c r="BI43" s="28">
        <f>PROGRAMADO!BI43/'Anexo '!$J$20</f>
        <v>0</v>
      </c>
      <c r="BJ43" s="28">
        <f>PROGRAMADO!BJ43/'Anexo '!$J$20</f>
        <v>0</v>
      </c>
      <c r="BK43" s="28">
        <f>PROGRAMADO!BK43/'Anexo '!$J$20</f>
        <v>0</v>
      </c>
      <c r="BL43" s="28">
        <f>PROGRAMADO!BL43/'Anexo '!$J$20</f>
        <v>1925688.9040626402</v>
      </c>
      <c r="BM43" s="28">
        <f>PROGRAMADO!BM43/'Anexo '!$K$20</f>
        <v>0</v>
      </c>
      <c r="BN43" s="28">
        <f>PROGRAMADO!BN43/'Anexo '!$K$20</f>
        <v>2147962.3618366551</v>
      </c>
      <c r="BO43" s="28">
        <f>PROGRAMADO!BO43/'Anexo '!$K$20</f>
        <v>2147962.3618366551</v>
      </c>
      <c r="BP43" s="28">
        <f>PROGRAMADO!BP43/'Anexo '!$K$20</f>
        <v>0</v>
      </c>
      <c r="BQ43" s="28">
        <f>PROGRAMADO!BQ43/'Anexo '!$K$20</f>
        <v>0</v>
      </c>
      <c r="BR43" s="28">
        <f>PROGRAMADO!BR43/'Anexo '!$K$20</f>
        <v>0</v>
      </c>
      <c r="BS43" s="28">
        <f>PROGRAMADO!BS43/'Anexo '!$K$20</f>
        <v>2147962.3618366551</v>
      </c>
      <c r="BT43" s="28">
        <f>PROGRAMADO!BT43/'Anexo '!$L$20</f>
        <v>0</v>
      </c>
      <c r="BU43" s="28">
        <f>PROGRAMADO!BU43/'Anexo '!$L$20</f>
        <v>2060088.2951804751</v>
      </c>
      <c r="BV43" s="28">
        <f>PROGRAMADO!BV43/'Anexo '!$L$20</f>
        <v>0</v>
      </c>
      <c r="BW43" s="28">
        <f>PROGRAMADO!BW43/'Anexo '!$L$20</f>
        <v>2060088.2951804751</v>
      </c>
      <c r="BX43" s="28">
        <f>PROGRAMADO!BX43/'Anexo '!$L$20</f>
        <v>0</v>
      </c>
      <c r="BY43" s="28">
        <f>PROGRAMADO!BY43/'Anexo '!$L$20</f>
        <v>0</v>
      </c>
      <c r="BZ43" s="28">
        <f>PROGRAMADO!BZ43/'Anexo '!$L$20</f>
        <v>0</v>
      </c>
      <c r="CA43" s="28">
        <f>PROGRAMADO!CA43/'Anexo '!$L$20</f>
        <v>2060088.2951804751</v>
      </c>
      <c r="CB43" s="28">
        <f>PROGRAMADO!CB43/'Anexo '!$M$20</f>
        <v>0</v>
      </c>
      <c r="CC43" s="28">
        <f>PROGRAMADO!CC43/'Anexo '!$M$20</f>
        <v>5421027.9285197593</v>
      </c>
      <c r="CD43" s="28">
        <f>PROGRAMADO!CD43/'Anexo '!$M$20</f>
        <v>0</v>
      </c>
      <c r="CE43" s="28">
        <f>PROGRAMADO!CE43/'Anexo '!$M$20</f>
        <v>5421027.9285197593</v>
      </c>
      <c r="CF43" s="28">
        <f>PROGRAMADO!CF43/'Anexo '!$M$20</f>
        <v>0</v>
      </c>
      <c r="CG43" s="28">
        <f>PROGRAMADO!CG43/'Anexo '!$M$20</f>
        <v>0</v>
      </c>
      <c r="CH43" s="28">
        <f>PROGRAMADO!CH43/'Anexo '!$M$20</f>
        <v>0</v>
      </c>
      <c r="CI43" s="29">
        <f>PROGRAMADO!CI43/'Anexo '!$M$20</f>
        <v>5421027.9285197593</v>
      </c>
    </row>
    <row r="44" spans="1:101" x14ac:dyDescent="0.25">
      <c r="A44" s="23" t="s">
        <v>74</v>
      </c>
      <c r="B44" s="28">
        <f>PROGRAMADO!B44/'Anexo '!$B$20</f>
        <v>0</v>
      </c>
      <c r="C44" s="28">
        <f>PROGRAMADO!C44/'Anexo '!$B$20</f>
        <v>0</v>
      </c>
      <c r="D44" s="28">
        <f>PROGRAMADO!D44/'Anexo '!$B$20</f>
        <v>0</v>
      </c>
      <c r="E44" s="28">
        <f>PROGRAMADO!E44/'Anexo '!$B$20</f>
        <v>0</v>
      </c>
      <c r="F44" s="28">
        <f>PROGRAMADO!F44/'Anexo '!$B$20</f>
        <v>57940741.488445245</v>
      </c>
      <c r="G44" s="28">
        <f>PROGRAMADO!G44/'Anexo '!$B$20</f>
        <v>57940741.488445245</v>
      </c>
      <c r="H44" s="28">
        <f>PROGRAMADO!H44/'Anexo '!$B$20</f>
        <v>57940741.488445245</v>
      </c>
      <c r="I44" s="28">
        <f>PROGRAMADO!I44/'Anexo '!$C$20</f>
        <v>0</v>
      </c>
      <c r="J44" s="28">
        <f>PROGRAMADO!J44/'Anexo '!$C$20</f>
        <v>0</v>
      </c>
      <c r="K44" s="28">
        <f>PROGRAMADO!K44/'Anexo '!$C$20</f>
        <v>0</v>
      </c>
      <c r="L44" s="28">
        <f>PROGRAMADO!L44/'Anexo '!$C$20</f>
        <v>0</v>
      </c>
      <c r="M44" s="28">
        <f>PROGRAMADO!M44/'Anexo '!$C$20</f>
        <v>0</v>
      </c>
      <c r="N44" s="28">
        <f>PROGRAMADO!N44/'Anexo '!$C$20</f>
        <v>0</v>
      </c>
      <c r="O44" s="28">
        <f>PROGRAMADO!O44/'Anexo '!$C$20</f>
        <v>0</v>
      </c>
      <c r="P44" s="28">
        <f>PROGRAMADO!P44/'Anexo '!$D$20</f>
        <v>0</v>
      </c>
      <c r="Q44" s="28">
        <f>PROGRAMADO!Q44/'Anexo '!$D$20</f>
        <v>0</v>
      </c>
      <c r="R44" s="28">
        <f>PROGRAMADO!R44/'Anexo '!$D$20</f>
        <v>0</v>
      </c>
      <c r="S44" s="28">
        <f>PROGRAMADO!S44/'Anexo '!$D$20</f>
        <v>0</v>
      </c>
      <c r="T44" s="28">
        <f>PROGRAMADO!T44/'Anexo '!$D$20</f>
        <v>0</v>
      </c>
      <c r="U44" s="28">
        <f>PROGRAMADO!U44/'Anexo '!$D$20</f>
        <v>0</v>
      </c>
      <c r="V44" s="28">
        <f>PROGRAMADO!V44/'Anexo '!$D$20</f>
        <v>0</v>
      </c>
      <c r="W44" s="28">
        <f>PROGRAMADO!W44/'Anexo '!$E$13</f>
        <v>107430676.91286555</v>
      </c>
      <c r="X44" s="28">
        <f>PROGRAMADO!X44/'Anexo '!$E$13</f>
        <v>0</v>
      </c>
      <c r="Y44" s="28">
        <f>PROGRAMADO!Y44/'Anexo '!$E$13</f>
        <v>107430676.91286555</v>
      </c>
      <c r="Z44" s="28">
        <f>PROGRAMADO!Z44/'Anexo '!$E$13</f>
        <v>98490877.305557162</v>
      </c>
      <c r="AA44" s="28">
        <f>PROGRAMADO!AA44/'Anexo '!$E$13</f>
        <v>47354922.407572545</v>
      </c>
      <c r="AB44" s="28">
        <f>PROGRAMADO!AB44/'Anexo '!$E$13</f>
        <v>145845799.7131297</v>
      </c>
      <c r="AC44" s="28">
        <f>PROGRAMADO!AC44/'Anexo '!$E$13</f>
        <v>253276476.62599525</v>
      </c>
      <c r="AD44" s="28">
        <f>PROGRAMADO!AD44/'Anexo '!$F$20</f>
        <v>30969430.000000007</v>
      </c>
      <c r="AE44" s="28">
        <f>PROGRAMADO!AE44/'Anexo '!$F$20</f>
        <v>0</v>
      </c>
      <c r="AF44" s="28">
        <f>PROGRAMADO!AF44/'Anexo '!$F$20</f>
        <v>30969430.000000007</v>
      </c>
      <c r="AG44" s="28">
        <f>PROGRAMADO!AG44/'Anexo '!$F$20</f>
        <v>17823241.000000004</v>
      </c>
      <c r="AH44" s="28">
        <f>PROGRAMADO!AH44/'Anexo '!$F$20</f>
        <v>256522014.00000006</v>
      </c>
      <c r="AI44" s="28">
        <f>PROGRAMADO!AI44/'Anexo '!$F$20</f>
        <v>274345255.00000006</v>
      </c>
      <c r="AJ44" s="28">
        <f>PROGRAMADO!AJ44/'Anexo '!$F$20</f>
        <v>305314685.00000006</v>
      </c>
      <c r="AK44" s="28">
        <f>PROGRAMADO!AK44/'Anexo '!$G$20</f>
        <v>35.053274628897086</v>
      </c>
      <c r="AL44" s="28">
        <f>PROGRAMADO!AL44/'Anexo '!$G$20</f>
        <v>0</v>
      </c>
      <c r="AM44" s="28">
        <f>PROGRAMADO!AM44/'Anexo '!$G$20</f>
        <v>35053274.628897086</v>
      </c>
      <c r="AN44" s="28">
        <f>PROGRAMADO!AN44/'Anexo '!$G$20</f>
        <v>0</v>
      </c>
      <c r="AO44" s="28">
        <f>PROGRAMADO!AO44/'Anexo '!$G$20</f>
        <v>0</v>
      </c>
      <c r="AP44" s="28">
        <f>PROGRAMADO!AP44/'Anexo '!$G$20</f>
        <v>0</v>
      </c>
      <c r="AQ44" s="28">
        <f>PROGRAMADO!AQ44/'Anexo '!$G$20</f>
        <v>35053274.628897086</v>
      </c>
      <c r="AR44" s="28">
        <f>PROGRAMADO!AR44/'Anexo '!$H$20</f>
        <v>92209929.74118942</v>
      </c>
      <c r="AS44" s="28">
        <f>PROGRAMADO!AS44/'Anexo '!$H$20</f>
        <v>0</v>
      </c>
      <c r="AT44" s="28">
        <f>PROGRAMADO!AT44/'Anexo '!$H$20</f>
        <v>92209929.74118942</v>
      </c>
      <c r="AU44" s="28">
        <f>PROGRAMADO!AU44/'Anexo '!$H$20</f>
        <v>0</v>
      </c>
      <c r="AV44" s="28">
        <f>PROGRAMADO!AV44/'Anexo '!$H$20</f>
        <v>0</v>
      </c>
      <c r="AW44" s="28">
        <f>PROGRAMADO!AW44/'Anexo '!$H$20</f>
        <v>0</v>
      </c>
      <c r="AX44" s="28">
        <f>PROGRAMADO!AX44/'Anexo '!$H$20</f>
        <v>92209929.74118942</v>
      </c>
      <c r="AY44" s="28">
        <f>PROGRAMADO!AY44/'Anexo '!$I$20</f>
        <v>71017630.927417293</v>
      </c>
      <c r="AZ44" s="28">
        <f>PROGRAMADO!AZ44/'Anexo '!$I$20</f>
        <v>0</v>
      </c>
      <c r="BA44" s="28">
        <f>PROGRAMADO!BA44/'Anexo '!$I$20</f>
        <v>71017630.927417293</v>
      </c>
      <c r="BB44" s="28">
        <f>PROGRAMADO!BB44/'Anexo '!$I$20</f>
        <v>0</v>
      </c>
      <c r="BC44" s="28">
        <f>PROGRAMADO!BC44/'Anexo '!$I$20</f>
        <v>0</v>
      </c>
      <c r="BD44" s="28">
        <f>PROGRAMADO!BD44/'Anexo '!$I$20</f>
        <v>0</v>
      </c>
      <c r="BE44" s="28">
        <f>PROGRAMADO!BE44/'Anexo '!$I$20</f>
        <v>71017630.927417293</v>
      </c>
      <c r="BF44" s="28">
        <f>PROGRAMADO!BF44/'Anexo '!$J$20</f>
        <v>0</v>
      </c>
      <c r="BG44" s="28">
        <f>PROGRAMADO!BG44/'Anexo '!$J$20</f>
        <v>0</v>
      </c>
      <c r="BH44" s="28">
        <f>PROGRAMADO!BH44/'Anexo '!$J$20</f>
        <v>0</v>
      </c>
      <c r="BI44" s="28">
        <f>PROGRAMADO!BI44/'Anexo '!$J$20</f>
        <v>0</v>
      </c>
      <c r="BJ44" s="28">
        <f>PROGRAMADO!BJ44/'Anexo '!$J$20</f>
        <v>0</v>
      </c>
      <c r="BK44" s="28">
        <f>PROGRAMADO!BK44/'Anexo '!$J$20</f>
        <v>0</v>
      </c>
      <c r="BL44" s="28">
        <f>PROGRAMADO!BL44/'Anexo '!$J$20</f>
        <v>0</v>
      </c>
      <c r="BM44" s="28">
        <f>PROGRAMADO!BM44/'Anexo '!$K$20</f>
        <v>0</v>
      </c>
      <c r="BN44" s="28">
        <f>PROGRAMADO!BN44/'Anexo '!$K$20</f>
        <v>0</v>
      </c>
      <c r="BO44" s="28">
        <f>PROGRAMADO!BO44/'Anexo '!$K$20</f>
        <v>0</v>
      </c>
      <c r="BP44" s="28">
        <f>PROGRAMADO!BP44/'Anexo '!$K$20</f>
        <v>0</v>
      </c>
      <c r="BQ44" s="28">
        <f>PROGRAMADO!BQ44/'Anexo '!$K$20</f>
        <v>0</v>
      </c>
      <c r="BR44" s="28">
        <f>PROGRAMADO!BR44/'Anexo '!$K$20</f>
        <v>0</v>
      </c>
      <c r="BS44" s="28">
        <f>PROGRAMADO!BS44/'Anexo '!$K$20</f>
        <v>0</v>
      </c>
      <c r="BT44" s="28">
        <f>PROGRAMADO!BT44/'Anexo '!$L$20</f>
        <v>0</v>
      </c>
      <c r="BU44" s="28">
        <f>PROGRAMADO!BU44/'Anexo '!$L$20</f>
        <v>0</v>
      </c>
      <c r="BV44" s="28">
        <f>PROGRAMADO!BV44/'Anexo '!$L$20</f>
        <v>0</v>
      </c>
      <c r="BW44" s="28">
        <f>PROGRAMADO!BW44/'Anexo '!$L$20</f>
        <v>0</v>
      </c>
      <c r="BX44" s="28">
        <f>PROGRAMADO!BX44/'Anexo '!$L$20</f>
        <v>0</v>
      </c>
      <c r="BY44" s="28">
        <f>PROGRAMADO!BY44/'Anexo '!$L$20</f>
        <v>0</v>
      </c>
      <c r="BZ44" s="28">
        <f>PROGRAMADO!BZ44/'Anexo '!$L$20</f>
        <v>0</v>
      </c>
      <c r="CA44" s="28">
        <f>PROGRAMADO!CA44/'Anexo '!$L$20</f>
        <v>0</v>
      </c>
      <c r="CB44" s="28">
        <f>PROGRAMADO!CB44/'Anexo '!$M$20</f>
        <v>0</v>
      </c>
      <c r="CC44" s="28">
        <f>PROGRAMADO!CC44/'Anexo '!$M$20</f>
        <v>0</v>
      </c>
      <c r="CD44" s="28">
        <f>PROGRAMADO!CD44/'Anexo '!$M$20</f>
        <v>0</v>
      </c>
      <c r="CE44" s="28">
        <f>PROGRAMADO!CE44/'Anexo '!$M$20</f>
        <v>0</v>
      </c>
      <c r="CF44" s="28">
        <f>PROGRAMADO!CF44/'Anexo '!$M$20</f>
        <v>0</v>
      </c>
      <c r="CG44" s="28">
        <f>PROGRAMADO!CG44/'Anexo '!$M$20</f>
        <v>0</v>
      </c>
      <c r="CH44" s="28">
        <f>PROGRAMADO!CH44/'Anexo '!$M$20</f>
        <v>0</v>
      </c>
      <c r="CI44" s="29">
        <f>PROGRAMADO!CI44/'Anexo '!$M$20</f>
        <v>0</v>
      </c>
    </row>
    <row r="45" spans="1:101" x14ac:dyDescent="0.25">
      <c r="A45" s="23" t="s">
        <v>75</v>
      </c>
      <c r="B45" s="28">
        <f>PROGRAMADO!B45/'Anexo '!$B$20</f>
        <v>0</v>
      </c>
      <c r="C45" s="28">
        <f>PROGRAMADO!C45/'Anexo '!$B$20</f>
        <v>25251877.768017594</v>
      </c>
      <c r="D45" s="28">
        <f>PROGRAMADO!D45/'Anexo '!$B$20</f>
        <v>25251877.768017594</v>
      </c>
      <c r="E45" s="28">
        <f>PROGRAMADO!E45/'Anexo '!$B$20</f>
        <v>42442081.240606412</v>
      </c>
      <c r="F45" s="28">
        <f>PROGRAMADO!F45/'Anexo '!$B$20</f>
        <v>45438659.985391289</v>
      </c>
      <c r="G45" s="28">
        <f>PROGRAMADO!G45/'Anexo '!$B$20</f>
        <v>87880741.225997701</v>
      </c>
      <c r="H45" s="28">
        <f>PROGRAMADO!H45/'Anexo '!$B$20</f>
        <v>113132618.99401529</v>
      </c>
      <c r="I45" s="28">
        <f>PROGRAMADO!I45/'Anexo '!$C$20</f>
        <v>0</v>
      </c>
      <c r="J45" s="28">
        <f>PROGRAMADO!J45/'Anexo '!$C$20</f>
        <v>55586681.63132365</v>
      </c>
      <c r="K45" s="28">
        <f>PROGRAMADO!K45/'Anexo '!$C$20</f>
        <v>55586681.63132365</v>
      </c>
      <c r="L45" s="28">
        <f>PROGRAMADO!L45/'Anexo '!$C$20</f>
        <v>16252631.752699222</v>
      </c>
      <c r="M45" s="28">
        <f>PROGRAMADO!M45/'Anexo '!$C$20</f>
        <v>71250438.609749421</v>
      </c>
      <c r="N45" s="28">
        <f>PROGRAMADO!N45/'Anexo '!$C$20</f>
        <v>87503070.362448648</v>
      </c>
      <c r="O45" s="28">
        <f>PROGRAMADO!O45/'Anexo '!$C$20</f>
        <v>143089751.9937723</v>
      </c>
      <c r="P45" s="28">
        <f>PROGRAMADO!P45/'Anexo '!$D$20</f>
        <v>0</v>
      </c>
      <c r="Q45" s="28">
        <f>PROGRAMADO!Q45/'Anexo '!$D$20</f>
        <v>0</v>
      </c>
      <c r="R45" s="28">
        <f>PROGRAMADO!R45/'Anexo '!$D$20</f>
        <v>0</v>
      </c>
      <c r="S45" s="28">
        <f>PROGRAMADO!S45/'Anexo '!$D$20</f>
        <v>0</v>
      </c>
      <c r="T45" s="28">
        <f>PROGRAMADO!T45/'Anexo '!$D$20</f>
        <v>0</v>
      </c>
      <c r="U45" s="28">
        <f>PROGRAMADO!U45/'Anexo '!$D$20</f>
        <v>0</v>
      </c>
      <c r="V45" s="28">
        <f>PROGRAMADO!V45/'Anexo '!$D$20</f>
        <v>0</v>
      </c>
      <c r="W45" s="28">
        <f>PROGRAMADO!W45/'Anexo '!$E$13</f>
        <v>0</v>
      </c>
      <c r="X45" s="28">
        <f>PROGRAMADO!X45/'Anexo '!$E$13</f>
        <v>0</v>
      </c>
      <c r="Y45" s="28">
        <f>PROGRAMADO!Y45/'Anexo '!$E$13</f>
        <v>0</v>
      </c>
      <c r="Z45" s="28">
        <f>PROGRAMADO!Z45/'Anexo '!$E$13</f>
        <v>0</v>
      </c>
      <c r="AA45" s="28">
        <f>PROGRAMADO!AA45/'Anexo '!$E$13</f>
        <v>0</v>
      </c>
      <c r="AB45" s="28">
        <f>PROGRAMADO!AB45/'Anexo '!$E$13</f>
        <v>0</v>
      </c>
      <c r="AC45" s="28">
        <f>PROGRAMADO!AC45/'Anexo '!$E$13</f>
        <v>0</v>
      </c>
      <c r="AD45" s="28">
        <f>PROGRAMADO!AD45/'Anexo '!$F$20</f>
        <v>0</v>
      </c>
      <c r="AE45" s="28">
        <f>PROGRAMADO!AE45/'Anexo '!$F$20</f>
        <v>0</v>
      </c>
      <c r="AF45" s="28">
        <f>PROGRAMADO!AF45/'Anexo '!$F$20</f>
        <v>0</v>
      </c>
      <c r="AG45" s="28">
        <f>PROGRAMADO!AG45/'Anexo '!$F$20</f>
        <v>0</v>
      </c>
      <c r="AH45" s="28">
        <f>PROGRAMADO!AH45/'Anexo '!$F$20</f>
        <v>0</v>
      </c>
      <c r="AI45" s="28">
        <f>PROGRAMADO!AI45/'Anexo '!$F$20</f>
        <v>0</v>
      </c>
      <c r="AJ45" s="28">
        <f>PROGRAMADO!AJ45/'Anexo '!$F$20</f>
        <v>0</v>
      </c>
      <c r="AK45" s="28">
        <f>PROGRAMADO!AK45/'Anexo '!$G$20</f>
        <v>0</v>
      </c>
      <c r="AL45" s="28">
        <f>PROGRAMADO!AL45/'Anexo '!$G$20</f>
        <v>0</v>
      </c>
      <c r="AM45" s="28">
        <f>PROGRAMADO!AM45/'Anexo '!$G$20</f>
        <v>0</v>
      </c>
      <c r="AN45" s="28">
        <f>PROGRAMADO!AN45/'Anexo '!$G$20</f>
        <v>0</v>
      </c>
      <c r="AO45" s="28">
        <f>PROGRAMADO!AO45/'Anexo '!$G$20</f>
        <v>0</v>
      </c>
      <c r="AP45" s="28">
        <f>PROGRAMADO!AP45/'Anexo '!$G$20</f>
        <v>0</v>
      </c>
      <c r="AQ45" s="28">
        <f>PROGRAMADO!AQ45/'Anexo '!$G$20</f>
        <v>0</v>
      </c>
      <c r="AR45" s="28">
        <f>PROGRAMADO!AR45/'Anexo '!$H$20</f>
        <v>0</v>
      </c>
      <c r="AS45" s="28">
        <f>PROGRAMADO!AS45/'Anexo '!$H$20</f>
        <v>0</v>
      </c>
      <c r="AT45" s="28">
        <f>PROGRAMADO!AT45/'Anexo '!$H$20</f>
        <v>0</v>
      </c>
      <c r="AU45" s="28">
        <f>PROGRAMADO!AU45/'Anexo '!$H$20</f>
        <v>0</v>
      </c>
      <c r="AV45" s="28">
        <f>PROGRAMADO!AV45/'Anexo '!$H$20</f>
        <v>0</v>
      </c>
      <c r="AW45" s="28">
        <f>PROGRAMADO!AW45/'Anexo '!$H$20</f>
        <v>0</v>
      </c>
      <c r="AX45" s="28">
        <f>PROGRAMADO!AX45/'Anexo '!$H$20</f>
        <v>0</v>
      </c>
      <c r="AY45" s="28">
        <f>PROGRAMADO!AY45/'Anexo '!$I$20</f>
        <v>0</v>
      </c>
      <c r="AZ45" s="28">
        <f>PROGRAMADO!AZ45/'Anexo '!$I$20</f>
        <v>0</v>
      </c>
      <c r="BA45" s="28">
        <f>PROGRAMADO!BA45/'Anexo '!$I$20</f>
        <v>0</v>
      </c>
      <c r="BB45" s="28">
        <f>PROGRAMADO!BB45/'Anexo '!$I$20</f>
        <v>0</v>
      </c>
      <c r="BC45" s="28">
        <f>PROGRAMADO!BC45/'Anexo '!$I$20</f>
        <v>0</v>
      </c>
      <c r="BD45" s="28">
        <f>PROGRAMADO!BD45/'Anexo '!$I$20</f>
        <v>0</v>
      </c>
      <c r="BE45" s="28">
        <f>PROGRAMADO!BE45/'Anexo '!$I$20</f>
        <v>0</v>
      </c>
      <c r="BF45" s="28">
        <f>PROGRAMADO!BF45/'Anexo '!$J$20</f>
        <v>0</v>
      </c>
      <c r="BG45" s="28">
        <f>PROGRAMADO!BG45/'Anexo '!$J$20</f>
        <v>0</v>
      </c>
      <c r="BH45" s="28">
        <f>PROGRAMADO!BH45/'Anexo '!$J$20</f>
        <v>0</v>
      </c>
      <c r="BI45" s="28">
        <f>PROGRAMADO!BI45/'Anexo '!$J$20</f>
        <v>0</v>
      </c>
      <c r="BJ45" s="28">
        <f>PROGRAMADO!BJ45/'Anexo '!$J$20</f>
        <v>0</v>
      </c>
      <c r="BK45" s="28">
        <f>PROGRAMADO!BK45/'Anexo '!$J$20</f>
        <v>0</v>
      </c>
      <c r="BL45" s="28">
        <f>PROGRAMADO!BL45/'Anexo '!$J$20</f>
        <v>0</v>
      </c>
      <c r="BM45" s="28">
        <f>PROGRAMADO!BM45/'Anexo '!$K$20</f>
        <v>0</v>
      </c>
      <c r="BN45" s="28">
        <f>PROGRAMADO!BN45/'Anexo '!$K$20</f>
        <v>0</v>
      </c>
      <c r="BO45" s="28">
        <f>PROGRAMADO!BO45/'Anexo '!$K$20</f>
        <v>0</v>
      </c>
      <c r="BP45" s="28">
        <f>PROGRAMADO!BP45/'Anexo '!$K$20</f>
        <v>0</v>
      </c>
      <c r="BQ45" s="28">
        <f>PROGRAMADO!BQ45/'Anexo '!$K$20</f>
        <v>0</v>
      </c>
      <c r="BR45" s="28">
        <f>PROGRAMADO!BR45/'Anexo '!$K$20</f>
        <v>0</v>
      </c>
      <c r="BS45" s="28">
        <f>PROGRAMADO!BS45/'Anexo '!$K$20</f>
        <v>0</v>
      </c>
      <c r="BT45" s="28">
        <f>PROGRAMADO!BT45/'Anexo '!$L$20</f>
        <v>0</v>
      </c>
      <c r="BU45" s="28">
        <f>PROGRAMADO!BU45/'Anexo '!$L$20</f>
        <v>0</v>
      </c>
      <c r="BV45" s="28">
        <f>PROGRAMADO!BV45/'Anexo '!$L$20</f>
        <v>0</v>
      </c>
      <c r="BW45" s="28">
        <f>PROGRAMADO!BW45/'Anexo '!$L$20</f>
        <v>0</v>
      </c>
      <c r="BX45" s="28">
        <f>PROGRAMADO!BX45/'Anexo '!$L$20</f>
        <v>0</v>
      </c>
      <c r="BY45" s="28">
        <f>PROGRAMADO!BY45/'Anexo '!$L$20</f>
        <v>0</v>
      </c>
      <c r="BZ45" s="28">
        <f>PROGRAMADO!BZ45/'Anexo '!$L$20</f>
        <v>0</v>
      </c>
      <c r="CA45" s="28">
        <f>PROGRAMADO!CA45/'Anexo '!$L$20</f>
        <v>0</v>
      </c>
      <c r="CB45" s="28">
        <f>PROGRAMADO!CB45/'Anexo '!$M$20</f>
        <v>0</v>
      </c>
      <c r="CC45" s="28">
        <f>PROGRAMADO!CC45/'Anexo '!$M$20</f>
        <v>0</v>
      </c>
      <c r="CD45" s="28">
        <f>PROGRAMADO!CD45/'Anexo '!$M$20</f>
        <v>0</v>
      </c>
      <c r="CE45" s="28">
        <f>PROGRAMADO!CE45/'Anexo '!$M$20</f>
        <v>0</v>
      </c>
      <c r="CF45" s="28">
        <f>PROGRAMADO!CF45/'Anexo '!$M$20</f>
        <v>0</v>
      </c>
      <c r="CG45" s="28">
        <f>PROGRAMADO!CG45/'Anexo '!$M$20</f>
        <v>0</v>
      </c>
      <c r="CH45" s="28">
        <f>PROGRAMADO!CH45/'Anexo '!$M$20</f>
        <v>0</v>
      </c>
      <c r="CI45" s="29">
        <f>PROGRAMADO!CI45/'Anexo '!$M$20</f>
        <v>0</v>
      </c>
    </row>
    <row r="46" spans="1:101" x14ac:dyDescent="0.25">
      <c r="A46" s="23" t="s">
        <v>38</v>
      </c>
      <c r="B46" s="28">
        <f>PROGRAMADO!B46/'Anexo '!$B$20</f>
        <v>0</v>
      </c>
      <c r="C46" s="28">
        <f>PROGRAMADO!C46/'Anexo '!$B$20</f>
        <v>12193500.477231495</v>
      </c>
      <c r="D46" s="28">
        <f>PROGRAMADO!D46/'Anexo '!$B$20</f>
        <v>12193500.477231495</v>
      </c>
      <c r="E46" s="28">
        <f>PROGRAMADO!E46/'Anexo '!$B$20</f>
        <v>0</v>
      </c>
      <c r="F46" s="28">
        <f>PROGRAMADO!F46/'Anexo '!$B$20</f>
        <v>58640942.184482202</v>
      </c>
      <c r="G46" s="28">
        <f>PROGRAMADO!G46/'Anexo '!$B$20</f>
        <v>58640942.184482202</v>
      </c>
      <c r="H46" s="28">
        <f>PROGRAMADO!H46/'Anexo '!$B$20</f>
        <v>70834442.66171369</v>
      </c>
      <c r="I46" s="28">
        <f>PROGRAMADO!I46/'Anexo '!$C$20</f>
        <v>0</v>
      </c>
      <c r="J46" s="28">
        <f>PROGRAMADO!J46/'Anexo '!$C$20</f>
        <v>12247405.305773046</v>
      </c>
      <c r="K46" s="28">
        <f>PROGRAMADO!K46/'Anexo '!$C$20</f>
        <v>12247405.305773046</v>
      </c>
      <c r="L46" s="28">
        <f>PROGRAMADO!L46/'Anexo '!$C$20</f>
        <v>0</v>
      </c>
      <c r="M46" s="28">
        <f>PROGRAMADO!M46/'Anexo '!$C$20</f>
        <v>0</v>
      </c>
      <c r="N46" s="28">
        <f>PROGRAMADO!N46/'Anexo '!$C$20</f>
        <v>0</v>
      </c>
      <c r="O46" s="28">
        <f>PROGRAMADO!O46/'Anexo '!$C$20</f>
        <v>12247405.305773046</v>
      </c>
      <c r="P46" s="28">
        <f>PROGRAMADO!P46/'Anexo '!$D$20</f>
        <v>0</v>
      </c>
      <c r="Q46" s="28">
        <f>PROGRAMADO!Q46/'Anexo '!$D$20</f>
        <v>0</v>
      </c>
      <c r="R46" s="28">
        <f>PROGRAMADO!R46/'Anexo '!$D$20</f>
        <v>0</v>
      </c>
      <c r="S46" s="28">
        <f>PROGRAMADO!S46/'Anexo '!$D$20</f>
        <v>0</v>
      </c>
      <c r="T46" s="28">
        <f>PROGRAMADO!T46/'Anexo '!$D$20</f>
        <v>0</v>
      </c>
      <c r="U46" s="28">
        <f>PROGRAMADO!U46/'Anexo '!$D$20</f>
        <v>0</v>
      </c>
      <c r="V46" s="28">
        <f>PROGRAMADO!V46/'Anexo '!$D$20</f>
        <v>0</v>
      </c>
      <c r="W46" s="28">
        <f>PROGRAMADO!W46/'Anexo '!$E$13</f>
        <v>0</v>
      </c>
      <c r="X46" s="28">
        <f>PROGRAMADO!X46/'Anexo '!$E$13</f>
        <v>0</v>
      </c>
      <c r="Y46" s="28">
        <f>PROGRAMADO!Y46/'Anexo '!$E$13</f>
        <v>0</v>
      </c>
      <c r="Z46" s="28">
        <f>PROGRAMADO!Z46/'Anexo '!$E$13</f>
        <v>0</v>
      </c>
      <c r="AA46" s="28">
        <f>PROGRAMADO!AA46/'Anexo '!$E$13</f>
        <v>0</v>
      </c>
      <c r="AB46" s="28">
        <f>PROGRAMADO!AB46/'Anexo '!$E$13</f>
        <v>0</v>
      </c>
      <c r="AC46" s="28">
        <f>PROGRAMADO!AC46/'Anexo '!$E$13</f>
        <v>0</v>
      </c>
      <c r="AD46" s="28">
        <f>PROGRAMADO!AD46/'Anexo '!$F$20</f>
        <v>0</v>
      </c>
      <c r="AE46" s="28">
        <f>PROGRAMADO!AE46/'Anexo '!$F$20</f>
        <v>0</v>
      </c>
      <c r="AF46" s="28">
        <f>PROGRAMADO!AF46/'Anexo '!$F$20</f>
        <v>0</v>
      </c>
      <c r="AG46" s="28">
        <f>PROGRAMADO!AG46/'Anexo '!$F$20</f>
        <v>0</v>
      </c>
      <c r="AH46" s="28">
        <f>PROGRAMADO!AH46/'Anexo '!$F$20</f>
        <v>0</v>
      </c>
      <c r="AI46" s="28">
        <f>PROGRAMADO!AI46/'Anexo '!$F$20</f>
        <v>0</v>
      </c>
      <c r="AJ46" s="28">
        <f>PROGRAMADO!AJ46/'Anexo '!$F$20</f>
        <v>0</v>
      </c>
      <c r="AK46" s="28">
        <f>PROGRAMADO!AK46/'Anexo '!$G$20</f>
        <v>0</v>
      </c>
      <c r="AL46" s="28">
        <f>PROGRAMADO!AL46/'Anexo '!$G$20</f>
        <v>0</v>
      </c>
      <c r="AM46" s="28">
        <f>PROGRAMADO!AM46/'Anexo '!$G$20</f>
        <v>0</v>
      </c>
      <c r="AN46" s="28">
        <f>PROGRAMADO!AN46/'Anexo '!$G$20</f>
        <v>0</v>
      </c>
      <c r="AO46" s="28">
        <f>PROGRAMADO!AO46/'Anexo '!$G$20</f>
        <v>0</v>
      </c>
      <c r="AP46" s="28">
        <f>PROGRAMADO!AP46/'Anexo '!$G$20</f>
        <v>0</v>
      </c>
      <c r="AQ46" s="28">
        <f>PROGRAMADO!AQ46/'Anexo '!$G$20</f>
        <v>0</v>
      </c>
      <c r="AR46" s="28">
        <f>PROGRAMADO!AR46/'Anexo '!$H$20</f>
        <v>0</v>
      </c>
      <c r="AS46" s="28">
        <f>PROGRAMADO!AS46/'Anexo '!$H$20</f>
        <v>0</v>
      </c>
      <c r="AT46" s="28">
        <f>PROGRAMADO!AT46/'Anexo '!$H$20</f>
        <v>0</v>
      </c>
      <c r="AU46" s="28">
        <f>PROGRAMADO!AU46/'Anexo '!$H$20</f>
        <v>0</v>
      </c>
      <c r="AV46" s="28">
        <f>PROGRAMADO!AV46/'Anexo '!$H$20</f>
        <v>0</v>
      </c>
      <c r="AW46" s="28">
        <f>PROGRAMADO!AW46/'Anexo '!$H$20</f>
        <v>0</v>
      </c>
      <c r="AX46" s="28">
        <f>PROGRAMADO!AX46/'Anexo '!$H$20</f>
        <v>0</v>
      </c>
      <c r="AY46" s="28">
        <f>PROGRAMADO!AY46/'Anexo '!$I$20</f>
        <v>0</v>
      </c>
      <c r="AZ46" s="28">
        <f>PROGRAMADO!AZ46/'Anexo '!$I$20</f>
        <v>0</v>
      </c>
      <c r="BA46" s="28">
        <f>PROGRAMADO!BA46/'Anexo '!$I$20</f>
        <v>0</v>
      </c>
      <c r="BB46" s="28">
        <f>PROGRAMADO!BB46/'Anexo '!$I$20</f>
        <v>0</v>
      </c>
      <c r="BC46" s="28">
        <f>PROGRAMADO!BC46/'Anexo '!$I$20</f>
        <v>0</v>
      </c>
      <c r="BD46" s="28">
        <f>PROGRAMADO!BD46/'Anexo '!$I$20</f>
        <v>0</v>
      </c>
      <c r="BE46" s="28">
        <f>PROGRAMADO!BE46/'Anexo '!$I$20</f>
        <v>0</v>
      </c>
      <c r="BF46" s="28">
        <f>PROGRAMADO!BF46/'Anexo '!$J$20</f>
        <v>0</v>
      </c>
      <c r="BG46" s="28">
        <f>PROGRAMADO!BG46/'Anexo '!$J$20</f>
        <v>0</v>
      </c>
      <c r="BH46" s="28">
        <f>PROGRAMADO!BH46/'Anexo '!$J$20</f>
        <v>0</v>
      </c>
      <c r="BI46" s="28">
        <f>PROGRAMADO!BI46/'Anexo '!$J$20</f>
        <v>0</v>
      </c>
      <c r="BJ46" s="28">
        <f>PROGRAMADO!BJ46/'Anexo '!$J$20</f>
        <v>0</v>
      </c>
      <c r="BK46" s="28">
        <f>PROGRAMADO!BK46/'Anexo '!$J$20</f>
        <v>0</v>
      </c>
      <c r="BL46" s="28">
        <f>PROGRAMADO!BL46/'Anexo '!$J$20</f>
        <v>0</v>
      </c>
      <c r="BM46" s="28">
        <f>PROGRAMADO!BM46/'Anexo '!$K$20</f>
        <v>0</v>
      </c>
      <c r="BN46" s="28">
        <f>PROGRAMADO!BN46/'Anexo '!$K$20</f>
        <v>0</v>
      </c>
      <c r="BO46" s="28">
        <f>PROGRAMADO!BO46/'Anexo '!$K$20</f>
        <v>0</v>
      </c>
      <c r="BP46" s="28">
        <f>PROGRAMADO!BP46/'Anexo '!$K$20</f>
        <v>0</v>
      </c>
      <c r="BQ46" s="28">
        <f>PROGRAMADO!BQ46/'Anexo '!$K$20</f>
        <v>0</v>
      </c>
      <c r="BR46" s="28">
        <f>PROGRAMADO!BR46/'Anexo '!$K$20</f>
        <v>0</v>
      </c>
      <c r="BS46" s="28">
        <f>PROGRAMADO!BS46/'Anexo '!$K$20</f>
        <v>0</v>
      </c>
      <c r="BT46" s="28">
        <f>PROGRAMADO!BT46/'Anexo '!$L$20</f>
        <v>0</v>
      </c>
      <c r="BU46" s="28">
        <f>PROGRAMADO!BU46/'Anexo '!$L$20</f>
        <v>0</v>
      </c>
      <c r="BV46" s="28">
        <f>PROGRAMADO!BV46/'Anexo '!$L$20</f>
        <v>0</v>
      </c>
      <c r="BW46" s="28">
        <f>PROGRAMADO!BW46/'Anexo '!$L$20</f>
        <v>0</v>
      </c>
      <c r="BX46" s="28">
        <f>PROGRAMADO!BX46/'Anexo '!$L$20</f>
        <v>0</v>
      </c>
      <c r="BY46" s="28">
        <f>PROGRAMADO!BY46/'Anexo '!$L$20</f>
        <v>0</v>
      </c>
      <c r="BZ46" s="28">
        <f>PROGRAMADO!BZ46/'Anexo '!$L$20</f>
        <v>0</v>
      </c>
      <c r="CA46" s="28">
        <f>PROGRAMADO!CA46/'Anexo '!$L$20</f>
        <v>0</v>
      </c>
      <c r="CB46" s="28">
        <f>PROGRAMADO!CB46/'Anexo '!$M$20</f>
        <v>0</v>
      </c>
      <c r="CC46" s="28">
        <f>PROGRAMADO!CC46/'Anexo '!$M$20</f>
        <v>0</v>
      </c>
      <c r="CD46" s="28">
        <f>PROGRAMADO!CD46/'Anexo '!$M$20</f>
        <v>0</v>
      </c>
      <c r="CE46" s="28">
        <f>PROGRAMADO!CE46/'Anexo '!$M$20</f>
        <v>0</v>
      </c>
      <c r="CF46" s="28">
        <f>PROGRAMADO!CF46/'Anexo '!$M$20</f>
        <v>0</v>
      </c>
      <c r="CG46" s="28">
        <f>PROGRAMADO!CG46/'Anexo '!$M$20</f>
        <v>0</v>
      </c>
      <c r="CH46" s="28">
        <f>PROGRAMADO!CH46/'Anexo '!$M$20</f>
        <v>0</v>
      </c>
      <c r="CI46" s="29">
        <f>PROGRAMADO!CI46/'Anexo '!$M$20</f>
        <v>0</v>
      </c>
    </row>
    <row r="47" spans="1:101" x14ac:dyDescent="0.25">
      <c r="A47" s="23" t="s">
        <v>76</v>
      </c>
      <c r="B47" s="28">
        <f>PROGRAMADO!B47/'Anexo '!$B$20</f>
        <v>0</v>
      </c>
      <c r="C47" s="28">
        <f>PROGRAMADO!C47/'Anexo '!$B$20</f>
        <v>0</v>
      </c>
      <c r="D47" s="28">
        <f>PROGRAMADO!D47/'Anexo '!$B$20</f>
        <v>0</v>
      </c>
      <c r="E47" s="28">
        <f>PROGRAMADO!E47/'Anexo '!$B$20</f>
        <v>0</v>
      </c>
      <c r="F47" s="28">
        <f>PROGRAMADO!F47/'Anexo '!$B$20</f>
        <v>0</v>
      </c>
      <c r="G47" s="28">
        <f>PROGRAMADO!G47/'Anexo '!$B$20</f>
        <v>0</v>
      </c>
      <c r="H47" s="28">
        <f>PROGRAMADO!H47/'Anexo '!$B$20</f>
        <v>0</v>
      </c>
      <c r="I47" s="28">
        <f>PROGRAMADO!I47/'Anexo '!$C$20</f>
        <v>0</v>
      </c>
      <c r="J47" s="28">
        <f>PROGRAMADO!J47/'Anexo '!$C$20</f>
        <v>53158494.071684033</v>
      </c>
      <c r="K47" s="28">
        <f>PROGRAMADO!K47/'Anexo '!$C$20</f>
        <v>53158494.071684033</v>
      </c>
      <c r="L47" s="28">
        <f>PROGRAMADO!L47/'Anexo '!$C$20</f>
        <v>0</v>
      </c>
      <c r="M47" s="28">
        <f>PROGRAMADO!M47/'Anexo '!$C$20</f>
        <v>0</v>
      </c>
      <c r="N47" s="28">
        <f>PROGRAMADO!N47/'Anexo '!$C$20</f>
        <v>0</v>
      </c>
      <c r="O47" s="28">
        <f>PROGRAMADO!O47/'Anexo '!$C$20</f>
        <v>53158494.071684033</v>
      </c>
      <c r="P47" s="28">
        <f>PROGRAMADO!P47/'Anexo '!$D$20</f>
        <v>0</v>
      </c>
      <c r="Q47" s="28">
        <f>PROGRAMADO!Q47/'Anexo '!$D$20</f>
        <v>0</v>
      </c>
      <c r="R47" s="28">
        <f>PROGRAMADO!R47/'Anexo '!$D$20</f>
        <v>0</v>
      </c>
      <c r="S47" s="28">
        <f>PROGRAMADO!S47/'Anexo '!$D$20</f>
        <v>0</v>
      </c>
      <c r="T47" s="28">
        <f>PROGRAMADO!T47/'Anexo '!$D$20</f>
        <v>0</v>
      </c>
      <c r="U47" s="28">
        <f>PROGRAMADO!U47/'Anexo '!$D$20</f>
        <v>0</v>
      </c>
      <c r="V47" s="28">
        <f>PROGRAMADO!V47/'Anexo '!$D$20</f>
        <v>0</v>
      </c>
      <c r="W47" s="28">
        <f>PROGRAMADO!W47/'Anexo '!$E$13</f>
        <v>0</v>
      </c>
      <c r="X47" s="28">
        <f>PROGRAMADO!X47/'Anexo '!$E$13</f>
        <v>0</v>
      </c>
      <c r="Y47" s="28">
        <f>PROGRAMADO!Y47/'Anexo '!$E$13</f>
        <v>0</v>
      </c>
      <c r="Z47" s="28">
        <f>PROGRAMADO!Z47/'Anexo '!$E$13</f>
        <v>0</v>
      </c>
      <c r="AA47" s="28">
        <f>PROGRAMADO!AA47/'Anexo '!$E$13</f>
        <v>0</v>
      </c>
      <c r="AB47" s="28">
        <f>PROGRAMADO!AB47/'Anexo '!$E$13</f>
        <v>0</v>
      </c>
      <c r="AC47" s="28">
        <f>PROGRAMADO!AC47/'Anexo '!$E$13</f>
        <v>0</v>
      </c>
      <c r="AD47" s="28">
        <f>PROGRAMADO!AD47/'Anexo '!$F$20</f>
        <v>0</v>
      </c>
      <c r="AE47" s="28">
        <f>PROGRAMADO!AE47/'Anexo '!$F$20</f>
        <v>0</v>
      </c>
      <c r="AF47" s="28">
        <f>PROGRAMADO!AF47/'Anexo '!$F$20</f>
        <v>0</v>
      </c>
      <c r="AG47" s="28">
        <f>PROGRAMADO!AG47/'Anexo '!$F$20</f>
        <v>0</v>
      </c>
      <c r="AH47" s="28">
        <f>PROGRAMADO!AH47/'Anexo '!$F$20</f>
        <v>0</v>
      </c>
      <c r="AI47" s="28">
        <f>PROGRAMADO!AI47/'Anexo '!$F$20</f>
        <v>0</v>
      </c>
      <c r="AJ47" s="28">
        <f>PROGRAMADO!AJ47/'Anexo '!$F$20</f>
        <v>0</v>
      </c>
      <c r="AK47" s="28">
        <f>PROGRAMADO!AK47/'Anexo '!$G$20</f>
        <v>0</v>
      </c>
      <c r="AL47" s="28">
        <f>PROGRAMADO!AL47/'Anexo '!$G$20</f>
        <v>0</v>
      </c>
      <c r="AM47" s="28">
        <f>PROGRAMADO!AM47/'Anexo '!$G$20</f>
        <v>0</v>
      </c>
      <c r="AN47" s="28">
        <f>PROGRAMADO!AN47/'Anexo '!$G$20</f>
        <v>0</v>
      </c>
      <c r="AO47" s="28">
        <f>PROGRAMADO!AO47/'Anexo '!$G$20</f>
        <v>0</v>
      </c>
      <c r="AP47" s="28">
        <f>PROGRAMADO!AP47/'Anexo '!$G$20</f>
        <v>0</v>
      </c>
      <c r="AQ47" s="28">
        <f>PROGRAMADO!AQ47/'Anexo '!$G$20</f>
        <v>0</v>
      </c>
      <c r="AR47" s="28">
        <f>PROGRAMADO!AR47/'Anexo '!$H$20</f>
        <v>0</v>
      </c>
      <c r="AS47" s="28">
        <f>PROGRAMADO!AS47/'Anexo '!$H$20</f>
        <v>0</v>
      </c>
      <c r="AT47" s="28">
        <f>PROGRAMADO!AT47/'Anexo '!$H$20</f>
        <v>0</v>
      </c>
      <c r="AU47" s="28">
        <f>PROGRAMADO!AU47/'Anexo '!$H$20</f>
        <v>0</v>
      </c>
      <c r="AV47" s="28">
        <f>PROGRAMADO!AV47/'Anexo '!$H$20</f>
        <v>0</v>
      </c>
      <c r="AW47" s="28">
        <f>PROGRAMADO!AW47/'Anexo '!$H$20</f>
        <v>0</v>
      </c>
      <c r="AX47" s="28">
        <f>PROGRAMADO!AX47/'Anexo '!$H$20</f>
        <v>0</v>
      </c>
      <c r="AY47" s="28">
        <f>PROGRAMADO!AY47/'Anexo '!$I$20</f>
        <v>0</v>
      </c>
      <c r="AZ47" s="28">
        <f>PROGRAMADO!AZ47/'Anexo '!$I$20</f>
        <v>0</v>
      </c>
      <c r="BA47" s="28">
        <f>PROGRAMADO!BA47/'Anexo '!$I$20</f>
        <v>0</v>
      </c>
      <c r="BB47" s="28">
        <f>PROGRAMADO!BB47/'Anexo '!$I$20</f>
        <v>0</v>
      </c>
      <c r="BC47" s="28">
        <f>PROGRAMADO!BC47/'Anexo '!$I$20</f>
        <v>0</v>
      </c>
      <c r="BD47" s="28">
        <f>PROGRAMADO!BD47/'Anexo '!$I$20</f>
        <v>0</v>
      </c>
      <c r="BE47" s="28">
        <f>PROGRAMADO!BE47/'Anexo '!$I$20</f>
        <v>0</v>
      </c>
      <c r="BF47" s="28">
        <f>PROGRAMADO!BF47/'Anexo '!$J$20</f>
        <v>0</v>
      </c>
      <c r="BG47" s="28">
        <f>PROGRAMADO!BG47/'Anexo '!$J$20</f>
        <v>0</v>
      </c>
      <c r="BH47" s="28">
        <f>PROGRAMADO!BH47/'Anexo '!$J$20</f>
        <v>0</v>
      </c>
      <c r="BI47" s="28">
        <f>PROGRAMADO!BI47/'Anexo '!$J$20</f>
        <v>0</v>
      </c>
      <c r="BJ47" s="28">
        <f>PROGRAMADO!BJ47/'Anexo '!$J$20</f>
        <v>0</v>
      </c>
      <c r="BK47" s="28">
        <f>PROGRAMADO!BK47/'Anexo '!$J$20</f>
        <v>0</v>
      </c>
      <c r="BL47" s="28">
        <f>PROGRAMADO!BL47/'Anexo '!$J$20</f>
        <v>0</v>
      </c>
      <c r="BM47" s="28">
        <f>PROGRAMADO!BM47/'Anexo '!$K$20</f>
        <v>0</v>
      </c>
      <c r="BN47" s="28">
        <f>PROGRAMADO!BN47/'Anexo '!$K$20</f>
        <v>0</v>
      </c>
      <c r="BO47" s="28">
        <f>PROGRAMADO!BO47/'Anexo '!$K$20</f>
        <v>0</v>
      </c>
      <c r="BP47" s="28">
        <f>PROGRAMADO!BP47/'Anexo '!$K$20</f>
        <v>0</v>
      </c>
      <c r="BQ47" s="28">
        <f>PROGRAMADO!BQ47/'Anexo '!$K$20</f>
        <v>0</v>
      </c>
      <c r="BR47" s="28">
        <f>PROGRAMADO!BR47/'Anexo '!$K$20</f>
        <v>0</v>
      </c>
      <c r="BS47" s="28">
        <f>PROGRAMADO!BS47/'Anexo '!$K$20</f>
        <v>0</v>
      </c>
      <c r="BT47" s="28">
        <f>PROGRAMADO!BT47/'Anexo '!$L$20</f>
        <v>0</v>
      </c>
      <c r="BU47" s="28">
        <f>PROGRAMADO!BU47/'Anexo '!$L$20</f>
        <v>0</v>
      </c>
      <c r="BV47" s="28">
        <f>PROGRAMADO!BV47/'Anexo '!$L$20</f>
        <v>0</v>
      </c>
      <c r="BW47" s="28">
        <f>PROGRAMADO!BW47/'Anexo '!$L$20</f>
        <v>0</v>
      </c>
      <c r="BX47" s="28">
        <f>PROGRAMADO!BX47/'Anexo '!$L$20</f>
        <v>0</v>
      </c>
      <c r="BY47" s="28">
        <f>PROGRAMADO!BY47/'Anexo '!$L$20</f>
        <v>0</v>
      </c>
      <c r="BZ47" s="28">
        <f>PROGRAMADO!BZ47/'Anexo '!$L$20</f>
        <v>0</v>
      </c>
      <c r="CA47" s="28">
        <f>PROGRAMADO!CA47/'Anexo '!$L$20</f>
        <v>0</v>
      </c>
      <c r="CB47" s="28">
        <f>PROGRAMADO!CB47/'Anexo '!$M$20</f>
        <v>0</v>
      </c>
      <c r="CC47" s="28">
        <f>PROGRAMADO!CC47/'Anexo '!$M$20</f>
        <v>0</v>
      </c>
      <c r="CD47" s="28">
        <f>PROGRAMADO!CD47/'Anexo '!$M$20</f>
        <v>0</v>
      </c>
      <c r="CE47" s="28">
        <f>PROGRAMADO!CE47/'Anexo '!$M$20</f>
        <v>0</v>
      </c>
      <c r="CF47" s="28">
        <f>PROGRAMADO!CF47/'Anexo '!$M$20</f>
        <v>0</v>
      </c>
      <c r="CG47" s="28">
        <f>PROGRAMADO!CG47/'Anexo '!$M$20</f>
        <v>0</v>
      </c>
      <c r="CH47" s="28">
        <f>PROGRAMADO!CH47/'Anexo '!$M$20</f>
        <v>0</v>
      </c>
      <c r="CI47" s="29">
        <f>PROGRAMADO!CI47/'Anexo '!$M$20</f>
        <v>0</v>
      </c>
    </row>
    <row r="48" spans="1:101" x14ac:dyDescent="0.25">
      <c r="A48" s="23" t="s">
        <v>39</v>
      </c>
      <c r="B48" s="28">
        <f>PROGRAMADO!B48/'Anexo '!$B$20</f>
        <v>0</v>
      </c>
      <c r="C48" s="28">
        <f>PROGRAMADO!C48/'Anexo '!$B$20</f>
        <v>0</v>
      </c>
      <c r="D48" s="28">
        <f>PROGRAMADO!D48/'Anexo '!$B$20</f>
        <v>0</v>
      </c>
      <c r="E48" s="28">
        <f>PROGRAMADO!E48/'Anexo '!$B$20</f>
        <v>0</v>
      </c>
      <c r="F48" s="28">
        <f>PROGRAMADO!F48/'Anexo '!$B$20</f>
        <v>0</v>
      </c>
      <c r="G48" s="28">
        <f>PROGRAMADO!G48/'Anexo '!$B$20</f>
        <v>0</v>
      </c>
      <c r="H48" s="28">
        <f>PROGRAMADO!H48/'Anexo '!$B$20</f>
        <v>0</v>
      </c>
      <c r="I48" s="28">
        <f>PROGRAMADO!I48/'Anexo '!$C$20</f>
        <v>0</v>
      </c>
      <c r="J48" s="28">
        <f>PROGRAMADO!J48/'Anexo '!$C$20</f>
        <v>0</v>
      </c>
      <c r="K48" s="28">
        <f>PROGRAMADO!K48/'Anexo '!$C$20</f>
        <v>0</v>
      </c>
      <c r="L48" s="28">
        <f>PROGRAMADO!L48/'Anexo '!$C$20</f>
        <v>0</v>
      </c>
      <c r="M48" s="28">
        <f>PROGRAMADO!M48/'Anexo '!$C$20</f>
        <v>0</v>
      </c>
      <c r="N48" s="28">
        <f>PROGRAMADO!N48/'Anexo '!$C$20</f>
        <v>0</v>
      </c>
      <c r="O48" s="28">
        <f>PROGRAMADO!O48/'Anexo '!$C$20</f>
        <v>0</v>
      </c>
      <c r="P48" s="28">
        <f>PROGRAMADO!P48/'Anexo '!$D$20</f>
        <v>0</v>
      </c>
      <c r="Q48" s="28">
        <f>PROGRAMADO!Q48/'Anexo '!$D$20</f>
        <v>0</v>
      </c>
      <c r="R48" s="28">
        <f>PROGRAMADO!R48/'Anexo '!$D$20</f>
        <v>0</v>
      </c>
      <c r="S48" s="28">
        <f>PROGRAMADO!S48/'Anexo '!$D$20</f>
        <v>0</v>
      </c>
      <c r="T48" s="28">
        <f>PROGRAMADO!T48/'Anexo '!$D$20</f>
        <v>0</v>
      </c>
      <c r="U48" s="28">
        <f>PROGRAMADO!U48/'Anexo '!$D$20</f>
        <v>0</v>
      </c>
      <c r="V48" s="28">
        <f>PROGRAMADO!V48/'Anexo '!$D$20</f>
        <v>0</v>
      </c>
      <c r="W48" s="28">
        <f>PROGRAMADO!W48/'Anexo '!$E$13</f>
        <v>0</v>
      </c>
      <c r="X48" s="28">
        <f>PROGRAMADO!X48/'Anexo '!$E$13</f>
        <v>0</v>
      </c>
      <c r="Y48" s="28">
        <f>PROGRAMADO!Y48/'Anexo '!$E$13</f>
        <v>0</v>
      </c>
      <c r="Z48" s="28">
        <f>PROGRAMADO!Z48/'Anexo '!$E$13</f>
        <v>0</v>
      </c>
      <c r="AA48" s="28">
        <f>PROGRAMADO!AA48/'Anexo '!$E$13</f>
        <v>4735492.240757254</v>
      </c>
      <c r="AB48" s="28">
        <f>PROGRAMADO!AB48/'Anexo '!$E$13</f>
        <v>4735492.240757254</v>
      </c>
      <c r="AC48" s="28">
        <f>PROGRAMADO!AC48/'Anexo '!$E$13</f>
        <v>4735492.240757254</v>
      </c>
      <c r="AD48" s="28">
        <f>PROGRAMADO!AD48/'Anexo '!$F$20</f>
        <v>130010000.00000001</v>
      </c>
      <c r="AE48" s="28">
        <f>PROGRAMADO!AE48/'Anexo '!$F$20</f>
        <v>0</v>
      </c>
      <c r="AF48" s="28">
        <f>PROGRAMADO!AF48/'Anexo '!$F$20</f>
        <v>130010000.00000001</v>
      </c>
      <c r="AG48" s="28">
        <f>PROGRAMADO!AG48/'Anexo '!$F$20</f>
        <v>0</v>
      </c>
      <c r="AH48" s="28">
        <f>PROGRAMADO!AH48/'Anexo '!$F$20</f>
        <v>8327653.0000000019</v>
      </c>
      <c r="AI48" s="28">
        <f>PROGRAMADO!AI48/'Anexo '!$F$20</f>
        <v>8327653.0000000019</v>
      </c>
      <c r="AJ48" s="28">
        <f>PROGRAMADO!AJ48/'Anexo '!$F$20</f>
        <v>138337653.00000003</v>
      </c>
      <c r="AK48" s="28">
        <f>PROGRAMADO!AK48/'Anexo '!$G$20</f>
        <v>122.75899404675891</v>
      </c>
      <c r="AL48" s="28">
        <f>PROGRAMADO!AL48/'Anexo '!$G$20</f>
        <v>0</v>
      </c>
      <c r="AM48" s="28">
        <f>PROGRAMADO!AM48/'Anexo '!$G$20</f>
        <v>122758994.04675891</v>
      </c>
      <c r="AN48" s="28">
        <f>PROGRAMADO!AN48/'Anexo '!$G$20</f>
        <v>8432059.67877483</v>
      </c>
      <c r="AO48" s="28">
        <f>PROGRAMADO!AO48/'Anexo '!$G$20</f>
        <v>4521748.8961390993</v>
      </c>
      <c r="AP48" s="28">
        <f>PROGRAMADO!AP48/'Anexo '!$G$20</f>
        <v>12953808.574913928</v>
      </c>
      <c r="AQ48" s="28">
        <f>PROGRAMADO!AQ48/'Anexo '!$G$20</f>
        <v>135712802.62167284</v>
      </c>
      <c r="AR48" s="28">
        <f>PROGRAMADO!AR48/'Anexo '!$H$20</f>
        <v>183798196.72433594</v>
      </c>
      <c r="AS48" s="28">
        <f>PROGRAMADO!AS48/'Anexo '!$H$20</f>
        <v>0</v>
      </c>
      <c r="AT48" s="28">
        <f>PROGRAMADO!AT48/'Anexo '!$H$20</f>
        <v>183798196.72433594</v>
      </c>
      <c r="AU48" s="28">
        <f>PROGRAMADO!AU48/'Anexo '!$H$20</f>
        <v>14281691.72558156</v>
      </c>
      <c r="AV48" s="28">
        <f>PROGRAMADO!AV48/'Anexo '!$H$20</f>
        <v>257492249.79015598</v>
      </c>
      <c r="AW48" s="28">
        <f>PROGRAMADO!AW48/'Anexo '!$H$20</f>
        <v>271773941.51573753</v>
      </c>
      <c r="AX48" s="28">
        <f>PROGRAMADO!AX48/'Anexo '!$H$20</f>
        <v>455572138.24007344</v>
      </c>
      <c r="AY48" s="28">
        <f>PROGRAMADO!AY48/'Anexo '!$I$20</f>
        <v>46583991.009720683</v>
      </c>
      <c r="AZ48" s="28">
        <f>PROGRAMADO!AZ48/'Anexo '!$I$20</f>
        <v>0</v>
      </c>
      <c r="BA48" s="28">
        <f>PROGRAMADO!BA48/'Anexo '!$I$20</f>
        <v>46583991.009720683</v>
      </c>
      <c r="BB48" s="28">
        <f>PROGRAMADO!BB48/'Anexo '!$I$20</f>
        <v>17071576.563153036</v>
      </c>
      <c r="BC48" s="28">
        <f>PROGRAMADO!BC48/'Anexo '!$I$20</f>
        <v>4233318.9317451231</v>
      </c>
      <c r="BD48" s="28">
        <f>PROGRAMADO!BD48/'Anexo '!$I$20</f>
        <v>21304895.494898159</v>
      </c>
      <c r="BE48" s="28">
        <f>PROGRAMADO!BE48/'Anexo '!$I$20</f>
        <v>67888886.504618838</v>
      </c>
      <c r="BF48" s="28">
        <f>PROGRAMADO!BF48/'Anexo '!$J$20</f>
        <v>50410265.502529167</v>
      </c>
      <c r="BG48" s="28">
        <f>PROGRAMADO!BG48/'Anexo '!$J$20</f>
        <v>0</v>
      </c>
      <c r="BH48" s="28">
        <f>PROGRAMADO!BH48/'Anexo '!$J$20</f>
        <v>50410265.502529167</v>
      </c>
      <c r="BI48" s="28">
        <f>PROGRAMADO!BI48/'Anexo '!$J$20</f>
        <v>9264029.6638765223</v>
      </c>
      <c r="BJ48" s="28">
        <f>PROGRAMADO!BJ48/'Anexo '!$J$20</f>
        <v>0</v>
      </c>
      <c r="BK48" s="28">
        <f>PROGRAMADO!BK48/'Anexo '!$J$20</f>
        <v>9264029.6638765223</v>
      </c>
      <c r="BL48" s="28">
        <f>PROGRAMADO!BL48/'Anexo '!$J$20</f>
        <v>59674295.166405693</v>
      </c>
      <c r="BM48" s="28">
        <f>PROGRAMADO!BM48/'Anexo '!$K$20</f>
        <v>117459555.82778564</v>
      </c>
      <c r="BN48" s="28">
        <f>PROGRAMADO!BN48/'Anexo '!$K$20</f>
        <v>0</v>
      </c>
      <c r="BO48" s="28">
        <f>PROGRAMADO!BO48/'Anexo '!$K$20</f>
        <v>117459555.82778564</v>
      </c>
      <c r="BP48" s="28">
        <f>PROGRAMADO!BP48/'Anexo '!$K$20</f>
        <v>8492190.0423178263</v>
      </c>
      <c r="BQ48" s="28">
        <f>PROGRAMADO!BQ48/'Anexo '!$K$20</f>
        <v>539883127.20162177</v>
      </c>
      <c r="BR48" s="28">
        <f>PROGRAMADO!BR48/'Anexo '!$K$20</f>
        <v>548375317.24393952</v>
      </c>
      <c r="BS48" s="28">
        <f>PROGRAMADO!BS48/'Anexo '!$K$20</f>
        <v>665834873.07172525</v>
      </c>
      <c r="BT48" s="28">
        <f>PROGRAMADO!BT48/'Anexo '!$L$20</f>
        <v>4468691.7554721534</v>
      </c>
      <c r="BU48" s="28">
        <f>PROGRAMADO!BU48/'Anexo '!$L$20</f>
        <v>41251229.3593226</v>
      </c>
      <c r="BV48" s="28">
        <f>PROGRAMADO!BV48/'Anexo '!$L$20</f>
        <v>0</v>
      </c>
      <c r="BW48" s="28">
        <f>PROGRAMADO!BW48/'Anexo '!$L$20</f>
        <v>45719921.114794761</v>
      </c>
      <c r="BX48" s="28">
        <f>PROGRAMADO!BX48/'Anexo '!$L$20</f>
        <v>4201217.1530371616</v>
      </c>
      <c r="BY48" s="28">
        <f>PROGRAMADO!BY48/'Anexo '!$L$20</f>
        <v>398915880.51537842</v>
      </c>
      <c r="BZ48" s="28">
        <f>PROGRAMADO!BZ48/'Anexo '!$L$20</f>
        <v>403117097.66841555</v>
      </c>
      <c r="CA48" s="28">
        <f>PROGRAMADO!CA48/'Anexo '!$L$20</f>
        <v>448837018.78321034</v>
      </c>
      <c r="CB48" s="28">
        <f>PROGRAMADO!CB48/'Anexo '!$M$20</f>
        <v>12404973.278884733</v>
      </c>
      <c r="CC48" s="28">
        <f>PROGRAMADO!CC48/'Anexo '!$M$20</f>
        <v>28219616.650064606</v>
      </c>
      <c r="CD48" s="28">
        <f>PROGRAMADO!CD48/'Anexo '!$M$20</f>
        <v>0</v>
      </c>
      <c r="CE48" s="28">
        <f>PROGRAMADO!CE48/'Anexo '!$M$20</f>
        <v>40624589.928949341</v>
      </c>
      <c r="CF48" s="28">
        <f>PROGRAMADO!CF48/'Anexo '!$M$20</f>
        <v>0</v>
      </c>
      <c r="CG48" s="28">
        <f>PROGRAMADO!CG48/'Anexo '!$M$20</f>
        <v>745059494.12215674</v>
      </c>
      <c r="CH48" s="28">
        <f>PROGRAMADO!CH48/'Anexo '!$M$20</f>
        <v>745059494.12215674</v>
      </c>
      <c r="CI48" s="29">
        <f>PROGRAMADO!CI48/'Anexo '!$M$20</f>
        <v>785684084.0511061</v>
      </c>
    </row>
    <row r="49" spans="1:87" x14ac:dyDescent="0.25">
      <c r="A49" s="23" t="s">
        <v>40</v>
      </c>
      <c r="B49" s="28">
        <f>PROGRAMADO!B49/'Anexo '!$B$20</f>
        <v>0</v>
      </c>
      <c r="C49" s="28">
        <f>PROGRAMADO!C49/'Anexo '!$B$20</f>
        <v>0</v>
      </c>
      <c r="D49" s="28">
        <f>PROGRAMADO!D49/'Anexo '!$B$20</f>
        <v>0</v>
      </c>
      <c r="E49" s="28">
        <f>PROGRAMADO!E49/'Anexo '!$B$20</f>
        <v>0</v>
      </c>
      <c r="F49" s="28">
        <f>PROGRAMADO!F49/'Anexo '!$B$20</f>
        <v>0</v>
      </c>
      <c r="G49" s="28">
        <f>PROGRAMADO!G49/'Anexo '!$B$20</f>
        <v>0</v>
      </c>
      <c r="H49" s="28">
        <f>PROGRAMADO!H49/'Anexo '!$B$20</f>
        <v>0</v>
      </c>
      <c r="I49" s="28">
        <f>PROGRAMADO!I49/'Anexo '!$C$20</f>
        <v>0</v>
      </c>
      <c r="J49" s="28">
        <f>PROGRAMADO!J49/'Anexo '!$C$20</f>
        <v>0</v>
      </c>
      <c r="K49" s="28">
        <f>PROGRAMADO!K49/'Anexo '!$C$20</f>
        <v>0</v>
      </c>
      <c r="L49" s="28">
        <f>PROGRAMADO!L49/'Anexo '!$C$20</f>
        <v>0</v>
      </c>
      <c r="M49" s="28">
        <f>PROGRAMADO!M49/'Anexo '!$C$20</f>
        <v>0</v>
      </c>
      <c r="N49" s="28">
        <f>PROGRAMADO!N49/'Anexo '!$C$20</f>
        <v>0</v>
      </c>
      <c r="O49" s="28">
        <f>PROGRAMADO!O49/'Anexo '!$C$20</f>
        <v>0</v>
      </c>
      <c r="P49" s="28">
        <f>PROGRAMADO!P49/'Anexo '!$D$20</f>
        <v>0</v>
      </c>
      <c r="Q49" s="28">
        <f>PROGRAMADO!Q49/'Anexo '!$D$20</f>
        <v>0</v>
      </c>
      <c r="R49" s="28">
        <f>PROGRAMADO!R49/'Anexo '!$D$20</f>
        <v>0</v>
      </c>
      <c r="S49" s="28">
        <f>PROGRAMADO!S49/'Anexo '!$D$20</f>
        <v>0</v>
      </c>
      <c r="T49" s="28">
        <f>PROGRAMADO!T49/'Anexo '!$D$20</f>
        <v>0</v>
      </c>
      <c r="U49" s="28">
        <f>PROGRAMADO!U49/'Anexo '!$D$20</f>
        <v>0</v>
      </c>
      <c r="V49" s="28">
        <f>PROGRAMADO!V49/'Anexo '!$D$20</f>
        <v>0</v>
      </c>
      <c r="W49" s="28">
        <f>PROGRAMADO!W49/'Anexo '!$E$13</f>
        <v>0</v>
      </c>
      <c r="X49" s="28">
        <f>PROGRAMADO!X49/'Anexo '!$E$13</f>
        <v>181614478.60730973</v>
      </c>
      <c r="Y49" s="28">
        <f>PROGRAMADO!Y49/'Anexo '!$E$13</f>
        <v>181614478.60730973</v>
      </c>
      <c r="Z49" s="28">
        <f>PROGRAMADO!Z49/'Anexo '!$E$13</f>
        <v>0</v>
      </c>
      <c r="AA49" s="28">
        <f>PROGRAMADO!AA49/'Anexo '!$E$13</f>
        <v>0</v>
      </c>
      <c r="AB49" s="28">
        <f>PROGRAMADO!AB49/'Anexo '!$E$13</f>
        <v>0</v>
      </c>
      <c r="AC49" s="28">
        <f>PROGRAMADO!AC49/'Anexo '!$E$13</f>
        <v>181614478.60730973</v>
      </c>
      <c r="AD49" s="28">
        <f>PROGRAMADO!AD49/'Anexo '!$F$20</f>
        <v>0</v>
      </c>
      <c r="AE49" s="28">
        <f>PROGRAMADO!AE49/'Anexo '!$F$20</f>
        <v>0</v>
      </c>
      <c r="AF49" s="28">
        <f>PROGRAMADO!AF49/'Anexo '!$F$20</f>
        <v>0</v>
      </c>
      <c r="AG49" s="28">
        <f>PROGRAMADO!AG49/'Anexo '!$F$20</f>
        <v>0</v>
      </c>
      <c r="AH49" s="28">
        <f>PROGRAMADO!AH49/'Anexo '!$F$20</f>
        <v>0</v>
      </c>
      <c r="AI49" s="28">
        <f>PROGRAMADO!AI49/'Anexo '!$F$20</f>
        <v>0</v>
      </c>
      <c r="AJ49" s="28">
        <f>PROGRAMADO!AJ49/'Anexo '!$F$20</f>
        <v>0</v>
      </c>
      <c r="AK49" s="28">
        <f>PROGRAMADO!AK49/'Anexo '!$G$20</f>
        <v>0</v>
      </c>
      <c r="AL49" s="28">
        <f>PROGRAMADO!AL49/'Anexo '!$G$20</f>
        <v>0</v>
      </c>
      <c r="AM49" s="28">
        <f>PROGRAMADO!AM49/'Anexo '!$G$20</f>
        <v>0</v>
      </c>
      <c r="AN49" s="28">
        <f>PROGRAMADO!AN49/'Anexo '!$G$20</f>
        <v>0</v>
      </c>
      <c r="AO49" s="28">
        <f>PROGRAMADO!AO49/'Anexo '!$G$20</f>
        <v>0</v>
      </c>
      <c r="AP49" s="28">
        <f>PROGRAMADO!AP49/'Anexo '!$G$20</f>
        <v>0</v>
      </c>
      <c r="AQ49" s="28">
        <f>PROGRAMADO!AQ49/'Anexo '!$G$20</f>
        <v>0</v>
      </c>
      <c r="AR49" s="28">
        <f>PROGRAMADO!AR49/'Anexo '!$H$20</f>
        <v>0</v>
      </c>
      <c r="AS49" s="28">
        <f>PROGRAMADO!AS49/'Anexo '!$H$20</f>
        <v>0</v>
      </c>
      <c r="AT49" s="28">
        <f>PROGRAMADO!AT49/'Anexo '!$H$20</f>
        <v>0</v>
      </c>
      <c r="AU49" s="28">
        <f>PROGRAMADO!AU49/'Anexo '!$H$20</f>
        <v>0</v>
      </c>
      <c r="AV49" s="28">
        <f>PROGRAMADO!AV49/'Anexo '!$H$20</f>
        <v>0</v>
      </c>
      <c r="AW49" s="28">
        <f>PROGRAMADO!AW49/'Anexo '!$H$20</f>
        <v>0</v>
      </c>
      <c r="AX49" s="28">
        <f>PROGRAMADO!AX49/'Anexo '!$H$20</f>
        <v>0</v>
      </c>
      <c r="AY49" s="28">
        <f>PROGRAMADO!AY49/'Anexo '!$I$20</f>
        <v>0</v>
      </c>
      <c r="AZ49" s="28">
        <f>PROGRAMADO!AZ49/'Anexo '!$I$20</f>
        <v>0</v>
      </c>
      <c r="BA49" s="28">
        <f>PROGRAMADO!BA49/'Anexo '!$I$20</f>
        <v>0</v>
      </c>
      <c r="BB49" s="28">
        <f>PROGRAMADO!BB49/'Anexo '!$I$20</f>
        <v>0</v>
      </c>
      <c r="BC49" s="28">
        <f>PROGRAMADO!BC49/'Anexo '!$I$20</f>
        <v>0</v>
      </c>
      <c r="BD49" s="28">
        <f>PROGRAMADO!BD49/'Anexo '!$I$20</f>
        <v>0</v>
      </c>
      <c r="BE49" s="28">
        <f>PROGRAMADO!BE49/'Anexo '!$I$20</f>
        <v>0</v>
      </c>
      <c r="BF49" s="28">
        <f>PROGRAMADO!BF49/'Anexo '!$J$20</f>
        <v>0</v>
      </c>
      <c r="BG49" s="28">
        <f>PROGRAMADO!BG49/'Anexo '!$J$20</f>
        <v>0</v>
      </c>
      <c r="BH49" s="28">
        <f>PROGRAMADO!BH49/'Anexo '!$J$20</f>
        <v>0</v>
      </c>
      <c r="BI49" s="28">
        <f>PROGRAMADO!BI49/'Anexo '!$J$20</f>
        <v>0</v>
      </c>
      <c r="BJ49" s="28">
        <f>PROGRAMADO!BJ49/'Anexo '!$J$20</f>
        <v>0</v>
      </c>
      <c r="BK49" s="28">
        <f>PROGRAMADO!BK49/'Anexo '!$J$20</f>
        <v>0</v>
      </c>
      <c r="BL49" s="28">
        <f>PROGRAMADO!BL49/'Anexo '!$J$20</f>
        <v>0</v>
      </c>
      <c r="BM49" s="28">
        <f>PROGRAMADO!BM49/'Anexo '!$K$20</f>
        <v>0</v>
      </c>
      <c r="BN49" s="28">
        <f>PROGRAMADO!BN49/'Anexo '!$K$20</f>
        <v>0</v>
      </c>
      <c r="BO49" s="28">
        <f>PROGRAMADO!BO49/'Anexo '!$K$20</f>
        <v>0</v>
      </c>
      <c r="BP49" s="28">
        <f>PROGRAMADO!BP49/'Anexo '!$K$20</f>
        <v>0</v>
      </c>
      <c r="BQ49" s="28">
        <f>PROGRAMADO!BQ49/'Anexo '!$K$20</f>
        <v>0</v>
      </c>
      <c r="BR49" s="28">
        <f>PROGRAMADO!BR49/'Anexo '!$K$20</f>
        <v>0</v>
      </c>
      <c r="BS49" s="28">
        <f>PROGRAMADO!BS49/'Anexo '!$K$20</f>
        <v>0</v>
      </c>
      <c r="BT49" s="28">
        <f>PROGRAMADO!BT49/'Anexo '!$L$20</f>
        <v>0</v>
      </c>
      <c r="BU49" s="28">
        <f>PROGRAMADO!BU49/'Anexo '!$L$20</f>
        <v>0</v>
      </c>
      <c r="BV49" s="28">
        <f>PROGRAMADO!BV49/'Anexo '!$L$20</f>
        <v>0</v>
      </c>
      <c r="BW49" s="28">
        <f>PROGRAMADO!BW49/'Anexo '!$L$20</f>
        <v>0</v>
      </c>
      <c r="BX49" s="28">
        <f>PROGRAMADO!BX49/'Anexo '!$L$20</f>
        <v>0</v>
      </c>
      <c r="BY49" s="28">
        <f>PROGRAMADO!BY49/'Anexo '!$L$20</f>
        <v>0</v>
      </c>
      <c r="BZ49" s="28">
        <f>PROGRAMADO!BZ49/'Anexo '!$L$20</f>
        <v>0</v>
      </c>
      <c r="CA49" s="28">
        <f>PROGRAMADO!CA49/'Anexo '!$L$20</f>
        <v>0</v>
      </c>
      <c r="CB49" s="28">
        <f>PROGRAMADO!CB49/'Anexo '!$M$20</f>
        <v>0</v>
      </c>
      <c r="CC49" s="28">
        <f>PROGRAMADO!CC49/'Anexo '!$M$20</f>
        <v>0</v>
      </c>
      <c r="CD49" s="28">
        <f>PROGRAMADO!CD49/'Anexo '!$M$20</f>
        <v>0</v>
      </c>
      <c r="CE49" s="28">
        <f>PROGRAMADO!CE49/'Anexo '!$M$20</f>
        <v>0</v>
      </c>
      <c r="CF49" s="28">
        <f>PROGRAMADO!CF49/'Anexo '!$M$20</f>
        <v>0</v>
      </c>
      <c r="CG49" s="28">
        <f>PROGRAMADO!CG49/'Anexo '!$M$20</f>
        <v>0</v>
      </c>
      <c r="CH49" s="28">
        <f>PROGRAMADO!CH49/'Anexo '!$M$20</f>
        <v>0</v>
      </c>
      <c r="CI49" s="29">
        <f>PROGRAMADO!CI49/'Anexo '!$M$20</f>
        <v>0</v>
      </c>
    </row>
    <row r="50" spans="1:87" x14ac:dyDescent="0.25">
      <c r="A50" s="23" t="s">
        <v>77</v>
      </c>
      <c r="B50" s="28">
        <f>PROGRAMADO!B50/'Anexo '!$B$20</f>
        <v>0</v>
      </c>
      <c r="C50" s="28">
        <f>PROGRAMADO!C50/'Anexo '!$B$20</f>
        <v>0</v>
      </c>
      <c r="D50" s="28">
        <f>PROGRAMADO!D50/'Anexo '!$B$20</f>
        <v>0</v>
      </c>
      <c r="E50" s="28">
        <f>PROGRAMADO!E50/'Anexo '!$B$20</f>
        <v>0</v>
      </c>
      <c r="F50" s="28">
        <f>PROGRAMADO!F50/'Anexo '!$B$20</f>
        <v>0</v>
      </c>
      <c r="G50" s="28">
        <f>PROGRAMADO!G50/'Anexo '!$B$20</f>
        <v>0</v>
      </c>
      <c r="H50" s="28">
        <f>PROGRAMADO!H50/'Anexo '!$B$20</f>
        <v>0</v>
      </c>
      <c r="I50" s="28">
        <f>PROGRAMADO!I50/'Anexo '!$C$20</f>
        <v>0</v>
      </c>
      <c r="J50" s="28">
        <f>PROGRAMADO!J50/'Anexo '!$C$20</f>
        <v>0</v>
      </c>
      <c r="K50" s="28">
        <f>PROGRAMADO!K50/'Anexo '!$C$20</f>
        <v>0</v>
      </c>
      <c r="L50" s="28">
        <f>PROGRAMADO!L50/'Anexo '!$C$20</f>
        <v>0</v>
      </c>
      <c r="M50" s="28">
        <f>PROGRAMADO!M50/'Anexo '!$C$20</f>
        <v>0</v>
      </c>
      <c r="N50" s="28">
        <f>PROGRAMADO!N50/'Anexo '!$C$20</f>
        <v>0</v>
      </c>
      <c r="O50" s="28">
        <f>PROGRAMADO!O50/'Anexo '!$C$20</f>
        <v>0</v>
      </c>
      <c r="P50" s="28">
        <f>PROGRAMADO!P50/'Anexo '!$D$20</f>
        <v>0</v>
      </c>
      <c r="Q50" s="28">
        <f>PROGRAMADO!Q50/'Anexo '!$D$20</f>
        <v>0</v>
      </c>
      <c r="R50" s="28">
        <f>PROGRAMADO!R50/'Anexo '!$D$20</f>
        <v>0</v>
      </c>
      <c r="S50" s="28">
        <f>PROGRAMADO!S50/'Anexo '!$D$20</f>
        <v>0</v>
      </c>
      <c r="T50" s="28">
        <f>PROGRAMADO!T50/'Anexo '!$D$20</f>
        <v>0</v>
      </c>
      <c r="U50" s="28">
        <f>PROGRAMADO!U50/'Anexo '!$D$20</f>
        <v>0</v>
      </c>
      <c r="V50" s="28">
        <f>PROGRAMADO!V50/'Anexo '!$D$20</f>
        <v>0</v>
      </c>
      <c r="W50" s="28">
        <f>PROGRAMADO!W50/'Anexo '!$E$13</f>
        <v>0</v>
      </c>
      <c r="X50" s="28">
        <f>PROGRAMADO!X50/'Anexo '!$E$13</f>
        <v>2508698.3271561572</v>
      </c>
      <c r="Y50" s="28">
        <f>PROGRAMADO!Y50/'Anexo '!$E$13</f>
        <v>2508698.3271561572</v>
      </c>
      <c r="Z50" s="28">
        <f>PROGRAMADO!Z50/'Anexo '!$E$13</f>
        <v>2453767.3979075449</v>
      </c>
      <c r="AA50" s="28">
        <f>PROGRAMADO!AA50/'Anexo '!$E$13</f>
        <v>0</v>
      </c>
      <c r="AB50" s="28">
        <f>PROGRAMADO!AB50/'Anexo '!$E$13</f>
        <v>2453767.3979075449</v>
      </c>
      <c r="AC50" s="28">
        <f>PROGRAMADO!AC50/'Anexo '!$E$13</f>
        <v>4962465.7250637021</v>
      </c>
      <c r="AD50" s="28">
        <f>PROGRAMADO!AD50/'Anexo '!$F$20</f>
        <v>0</v>
      </c>
      <c r="AE50" s="28">
        <f>PROGRAMADO!AE50/'Anexo '!$F$20</f>
        <v>1602000.0000000005</v>
      </c>
      <c r="AF50" s="28">
        <f>PROGRAMADO!AF50/'Anexo '!$F$20</f>
        <v>1602000.0000000005</v>
      </c>
      <c r="AG50" s="28">
        <f>PROGRAMADO!AG50/'Anexo '!$F$20</f>
        <v>8589538.0000000019</v>
      </c>
      <c r="AH50" s="28">
        <f>PROGRAMADO!AH50/'Anexo '!$F$20</f>
        <v>28846350.000000007</v>
      </c>
      <c r="AI50" s="28">
        <f>PROGRAMADO!AI50/'Anexo '!$F$20</f>
        <v>37435888.000000007</v>
      </c>
      <c r="AJ50" s="28">
        <f>PROGRAMADO!AJ50/'Anexo '!$F$20</f>
        <v>39037888.000000007</v>
      </c>
      <c r="AK50" s="28">
        <f>PROGRAMADO!AK50/'Anexo '!$G$20</f>
        <v>0</v>
      </c>
      <c r="AL50" s="28">
        <f>PROGRAMADO!AL50/'Anexo '!$G$20</f>
        <v>1029741.2567183656</v>
      </c>
      <c r="AM50" s="28">
        <f>PROGRAMADO!AM50/'Anexo '!$G$20</f>
        <v>1029741.2567183656</v>
      </c>
      <c r="AN50" s="28">
        <f>PROGRAMADO!AN50/'Anexo '!$G$20</f>
        <v>9205268.3631151691</v>
      </c>
      <c r="AO50" s="28">
        <f>PROGRAMADO!AO50/'Anexo '!$G$20</f>
        <v>17999666.418432813</v>
      </c>
      <c r="AP50" s="28">
        <f>PROGRAMADO!AP50/'Anexo '!$G$20</f>
        <v>27204934.781547982</v>
      </c>
      <c r="AQ50" s="28">
        <f>PROGRAMADO!AQ50/'Anexo '!$G$20</f>
        <v>28234676.038266346</v>
      </c>
      <c r="AR50" s="28">
        <f>PROGRAMADO!AR50/'Anexo '!$H$20</f>
        <v>0</v>
      </c>
      <c r="AS50" s="28">
        <f>PROGRAMADO!AS50/'Anexo '!$H$20</f>
        <v>20069.822000131517</v>
      </c>
      <c r="AT50" s="28">
        <f>PROGRAMADO!AT50/'Anexo '!$H$20</f>
        <v>20069.822000131517</v>
      </c>
      <c r="AU50" s="28">
        <f>PROGRAMADO!AU50/'Anexo '!$H$20</f>
        <v>12934878.9499685</v>
      </c>
      <c r="AV50" s="28">
        <f>PROGRAMADO!AV50/'Anexo '!$H$20</f>
        <v>2705649.6552461623</v>
      </c>
      <c r="AW50" s="28">
        <f>PROGRAMADO!AW50/'Anexo '!$H$20</f>
        <v>15640528.605214663</v>
      </c>
      <c r="AX50" s="28">
        <f>PROGRAMADO!AX50/'Anexo '!$H$20</f>
        <v>15660598.427214794</v>
      </c>
      <c r="AY50" s="28">
        <f>PROGRAMADO!AY50/'Anexo '!$I$20</f>
        <v>0</v>
      </c>
      <c r="AZ50" s="28">
        <f>PROGRAMADO!AZ50/'Anexo '!$I$20</f>
        <v>2691630.5365097574</v>
      </c>
      <c r="BA50" s="28">
        <f>PROGRAMADO!BA50/'Anexo '!$I$20</f>
        <v>2691630.5365097574</v>
      </c>
      <c r="BB50" s="28">
        <f>PROGRAMADO!BB50/'Anexo '!$I$20</f>
        <v>2778555.8141266387</v>
      </c>
      <c r="BC50" s="28">
        <f>PROGRAMADO!BC50/'Anexo '!$I$20</f>
        <v>3832000.2970156861</v>
      </c>
      <c r="BD50" s="28">
        <f>PROGRAMADO!BD50/'Anexo '!$I$20</f>
        <v>6610556.1111423243</v>
      </c>
      <c r="BE50" s="28">
        <f>PROGRAMADO!BE50/'Anexo '!$I$20</f>
        <v>9302186.6476520821</v>
      </c>
      <c r="BF50" s="28">
        <f>PROGRAMADO!BF50/'Anexo '!$J$20</f>
        <v>0</v>
      </c>
      <c r="BG50" s="28">
        <f>PROGRAMADO!BG50/'Anexo '!$J$20</f>
        <v>0</v>
      </c>
      <c r="BH50" s="28">
        <f>PROGRAMADO!BH50/'Anexo '!$J$20</f>
        <v>0</v>
      </c>
      <c r="BI50" s="28">
        <f>PROGRAMADO!BI50/'Anexo '!$J$20</f>
        <v>0</v>
      </c>
      <c r="BJ50" s="28">
        <f>PROGRAMADO!BJ50/'Anexo '!$J$20</f>
        <v>3422190.3122603418</v>
      </c>
      <c r="BK50" s="28">
        <f>PROGRAMADO!BK50/'Anexo '!$J$20</f>
        <v>3422190.3122603418</v>
      </c>
      <c r="BL50" s="28">
        <f>PROGRAMADO!BL50/'Anexo '!$J$20</f>
        <v>3422190.3122603418</v>
      </c>
      <c r="BM50" s="28">
        <f>PROGRAMADO!BM50/'Anexo '!$K$20</f>
        <v>0</v>
      </c>
      <c r="BN50" s="28">
        <f>PROGRAMADO!BN50/'Anexo '!$K$20</f>
        <v>0</v>
      </c>
      <c r="BO50" s="28">
        <f>PROGRAMADO!BO50/'Anexo '!$K$20</f>
        <v>0</v>
      </c>
      <c r="BP50" s="28">
        <f>PROGRAMADO!BP50/'Anexo '!$K$20</f>
        <v>0</v>
      </c>
      <c r="BQ50" s="28">
        <f>PROGRAMADO!BQ50/'Anexo '!$K$20</f>
        <v>6212462.909254143</v>
      </c>
      <c r="BR50" s="28">
        <f>PROGRAMADO!BR50/'Anexo '!$K$20</f>
        <v>6212462.909254143</v>
      </c>
      <c r="BS50" s="28">
        <f>PROGRAMADO!BS50/'Anexo '!$K$20</f>
        <v>6212462.909254143</v>
      </c>
      <c r="BT50" s="28">
        <f>PROGRAMADO!BT50/'Anexo '!$L$20</f>
        <v>0</v>
      </c>
      <c r="BU50" s="28">
        <f>PROGRAMADO!BU50/'Anexo '!$L$20</f>
        <v>974348.18903839402</v>
      </c>
      <c r="BV50" s="28">
        <f>PROGRAMADO!BV50/'Anexo '!$L$20</f>
        <v>0</v>
      </c>
      <c r="BW50" s="28">
        <f>PROGRAMADO!BW50/'Anexo '!$L$20</f>
        <v>974348.18903839402</v>
      </c>
      <c r="BX50" s="28">
        <f>PROGRAMADO!BX50/'Anexo '!$L$20</f>
        <v>0</v>
      </c>
      <c r="BY50" s="28">
        <f>PROGRAMADO!BY50/'Anexo '!$L$20</f>
        <v>9219223.2635682151</v>
      </c>
      <c r="BZ50" s="28">
        <f>PROGRAMADO!BZ50/'Anexo '!$L$20</f>
        <v>9219223.2635682151</v>
      </c>
      <c r="CA50" s="28">
        <f>PROGRAMADO!CA50/'Anexo '!$L$20</f>
        <v>10193571.452606609</v>
      </c>
      <c r="CB50" s="28">
        <f>PROGRAMADO!CB50/'Anexo '!$M$20</f>
        <v>0</v>
      </c>
      <c r="CC50" s="28">
        <f>PROGRAMADO!CC50/'Anexo '!$M$20</f>
        <v>229507.60308069718</v>
      </c>
      <c r="CD50" s="28">
        <f>PROGRAMADO!CD50/'Anexo '!$M$20</f>
        <v>0</v>
      </c>
      <c r="CE50" s="28">
        <f>PROGRAMADO!CE50/'Anexo '!$M$20</f>
        <v>229507.60308069718</v>
      </c>
      <c r="CF50" s="28">
        <f>PROGRAMADO!CF50/'Anexo '!$M$20</f>
        <v>1291924.5524304057</v>
      </c>
      <c r="CG50" s="28">
        <f>PROGRAMADO!CG50/'Anexo '!$M$20</f>
        <v>0</v>
      </c>
      <c r="CH50" s="28">
        <f>PROGRAMADO!CH50/'Anexo '!$M$20</f>
        <v>1291924.5524304057</v>
      </c>
      <c r="CI50" s="29">
        <f>PROGRAMADO!CI50/'Anexo '!$M$20</f>
        <v>1521432.1555111029</v>
      </c>
    </row>
    <row r="51" spans="1:87" x14ac:dyDescent="0.25">
      <c r="A51" s="23" t="s">
        <v>41</v>
      </c>
      <c r="B51" s="28">
        <f>PROGRAMADO!B51/'Anexo '!$B$20</f>
        <v>0</v>
      </c>
      <c r="C51" s="28">
        <f>PROGRAMADO!C51/'Anexo '!$B$20</f>
        <v>0</v>
      </c>
      <c r="D51" s="28">
        <f>PROGRAMADO!D51/'Anexo '!$B$20</f>
        <v>0</v>
      </c>
      <c r="E51" s="28">
        <f>PROGRAMADO!E51/'Anexo '!$B$20</f>
        <v>0</v>
      </c>
      <c r="F51" s="28">
        <f>PROGRAMADO!F51/'Anexo '!$B$20</f>
        <v>0</v>
      </c>
      <c r="G51" s="28">
        <f>PROGRAMADO!G51/'Anexo '!$B$20</f>
        <v>0</v>
      </c>
      <c r="H51" s="28">
        <f>PROGRAMADO!H51/'Anexo '!$B$20</f>
        <v>0</v>
      </c>
      <c r="I51" s="28">
        <f>PROGRAMADO!I51/'Anexo '!$C$20</f>
        <v>0</v>
      </c>
      <c r="J51" s="28">
        <f>PROGRAMADO!J51/'Anexo '!$C$20</f>
        <v>0</v>
      </c>
      <c r="K51" s="28">
        <f>PROGRAMADO!K51/'Anexo '!$C$20</f>
        <v>0</v>
      </c>
      <c r="L51" s="28">
        <f>PROGRAMADO!L51/'Anexo '!$C$20</f>
        <v>0</v>
      </c>
      <c r="M51" s="28">
        <f>PROGRAMADO!M51/'Anexo '!$C$20</f>
        <v>0</v>
      </c>
      <c r="N51" s="28">
        <f>PROGRAMADO!N51/'Anexo '!$C$20</f>
        <v>0</v>
      </c>
      <c r="O51" s="28">
        <f>PROGRAMADO!O51/'Anexo '!$C$20</f>
        <v>0</v>
      </c>
      <c r="P51" s="28">
        <f>PROGRAMADO!P51/'Anexo '!$D$20</f>
        <v>0</v>
      </c>
      <c r="Q51" s="28">
        <f>PROGRAMADO!Q51/'Anexo '!$D$20</f>
        <v>0</v>
      </c>
      <c r="R51" s="28">
        <f>PROGRAMADO!R51/'Anexo '!$D$20</f>
        <v>0</v>
      </c>
      <c r="S51" s="28">
        <f>PROGRAMADO!S51/'Anexo '!$D$20</f>
        <v>0</v>
      </c>
      <c r="T51" s="28">
        <f>PROGRAMADO!T51/'Anexo '!$D$20</f>
        <v>0</v>
      </c>
      <c r="U51" s="28">
        <f>PROGRAMADO!U51/'Anexo '!$D$20</f>
        <v>0</v>
      </c>
      <c r="V51" s="28">
        <f>PROGRAMADO!V51/'Anexo '!$D$20</f>
        <v>0</v>
      </c>
      <c r="W51" s="28">
        <f>PROGRAMADO!W51/'Anexo '!$E$13</f>
        <v>0</v>
      </c>
      <c r="X51" s="28">
        <f>PROGRAMADO!X51/'Anexo '!$E$13</f>
        <v>3049177.4030562625</v>
      </c>
      <c r="Y51" s="28">
        <f>PROGRAMADO!Y51/'Anexo '!$E$13</f>
        <v>3049177.4030562625</v>
      </c>
      <c r="Z51" s="28">
        <f>PROGRAMADO!Z51/'Anexo '!$E$13</f>
        <v>0</v>
      </c>
      <c r="AA51" s="28">
        <f>PROGRAMADO!AA51/'Anexo '!$E$13</f>
        <v>23031953.075814001</v>
      </c>
      <c r="AB51" s="28">
        <f>PROGRAMADO!AB51/'Anexo '!$E$13</f>
        <v>23031953.075814001</v>
      </c>
      <c r="AC51" s="28">
        <f>PROGRAMADO!AC51/'Anexo '!$E$13</f>
        <v>26081130.478870265</v>
      </c>
      <c r="AD51" s="28">
        <f>PROGRAMADO!AD51/'Anexo '!$F$20</f>
        <v>0</v>
      </c>
      <c r="AE51" s="28">
        <f>PROGRAMADO!AE51/'Anexo '!$F$20</f>
        <v>2319000.0000000005</v>
      </c>
      <c r="AF51" s="28">
        <f>PROGRAMADO!AF51/'Anexo '!$F$20</f>
        <v>2319000.0000000005</v>
      </c>
      <c r="AG51" s="28">
        <f>PROGRAMADO!AG51/'Anexo '!$F$20</f>
        <v>0</v>
      </c>
      <c r="AH51" s="28">
        <f>PROGRAMADO!AH51/'Anexo '!$F$20</f>
        <v>35805000.000000007</v>
      </c>
      <c r="AI51" s="28">
        <f>PROGRAMADO!AI51/'Anexo '!$F$20</f>
        <v>35805000.000000007</v>
      </c>
      <c r="AJ51" s="28">
        <f>PROGRAMADO!AJ51/'Anexo '!$F$20</f>
        <v>38124000.000000007</v>
      </c>
      <c r="AK51" s="28">
        <f>PROGRAMADO!AK51/'Anexo '!$G$20</f>
        <v>0</v>
      </c>
      <c r="AL51" s="28">
        <f>PROGRAMADO!AL51/'Anexo '!$G$20</f>
        <v>1977907.5247318088</v>
      </c>
      <c r="AM51" s="28">
        <f>PROGRAMADO!AM51/'Anexo '!$G$20</f>
        <v>1977907.5247318088</v>
      </c>
      <c r="AN51" s="28">
        <f>PROGRAMADO!AN51/'Anexo '!$G$20</f>
        <v>0</v>
      </c>
      <c r="AO51" s="28">
        <f>PROGRAMADO!AO51/'Anexo '!$G$20</f>
        <v>35470318.066109583</v>
      </c>
      <c r="AP51" s="28">
        <f>PROGRAMADO!AP51/'Anexo '!$G$20</f>
        <v>35470318.066109583</v>
      </c>
      <c r="AQ51" s="28">
        <f>PROGRAMADO!AQ51/'Anexo '!$G$20</f>
        <v>37448225.59084139</v>
      </c>
      <c r="AR51" s="28">
        <f>PROGRAMADO!AR51/'Anexo '!$H$20</f>
        <v>0</v>
      </c>
      <c r="AS51" s="28">
        <f>PROGRAMADO!AS51/'Anexo '!$H$20</f>
        <v>2189104.5437163371</v>
      </c>
      <c r="AT51" s="28">
        <f>PROGRAMADO!AT51/'Anexo '!$H$20</f>
        <v>2189104.5437163371</v>
      </c>
      <c r="AU51" s="28">
        <f>PROGRAMADO!AU51/'Anexo '!$H$20</f>
        <v>0</v>
      </c>
      <c r="AV51" s="28">
        <f>PROGRAMADO!AV51/'Anexo '!$H$20</f>
        <v>8372139.0711084306</v>
      </c>
      <c r="AW51" s="28">
        <f>PROGRAMADO!AW51/'Anexo '!$H$20</f>
        <v>8372139.0711084306</v>
      </c>
      <c r="AX51" s="28">
        <f>PROGRAMADO!AX51/'Anexo '!$H$20</f>
        <v>10561243.614824768</v>
      </c>
      <c r="AY51" s="28">
        <f>PROGRAMADO!AY51/'Anexo '!$I$20</f>
        <v>0</v>
      </c>
      <c r="AZ51" s="28">
        <f>PROGRAMADO!AZ51/'Anexo '!$I$20</f>
        <v>2943849.985135559</v>
      </c>
      <c r="BA51" s="28">
        <f>PROGRAMADO!BA51/'Anexo '!$I$20</f>
        <v>2943849.985135559</v>
      </c>
      <c r="BB51" s="28">
        <f>PROGRAMADO!BB51/'Anexo '!$I$20</f>
        <v>0</v>
      </c>
      <c r="BC51" s="28">
        <f>PROGRAMADO!BC51/'Anexo '!$I$20</f>
        <v>22628865.990801446</v>
      </c>
      <c r="BD51" s="28">
        <f>PROGRAMADO!BD51/'Anexo '!$I$20</f>
        <v>22628865.990801446</v>
      </c>
      <c r="BE51" s="28">
        <f>PROGRAMADO!BE51/'Anexo '!$I$20</f>
        <v>25572715.975937005</v>
      </c>
      <c r="BF51" s="28">
        <f>PROGRAMADO!BF51/'Anexo '!$J$20</f>
        <v>0</v>
      </c>
      <c r="BG51" s="28">
        <f>PROGRAMADO!BG51/'Anexo '!$J$20</f>
        <v>1881314.3336646748</v>
      </c>
      <c r="BH51" s="28">
        <f>PROGRAMADO!BH51/'Anexo '!$J$20</f>
        <v>1881314.3336646748</v>
      </c>
      <c r="BI51" s="28">
        <f>PROGRAMADO!BI51/'Anexo '!$J$20</f>
        <v>0</v>
      </c>
      <c r="BJ51" s="28">
        <f>PROGRAMADO!BJ51/'Anexo '!$J$20</f>
        <v>31865965.08201047</v>
      </c>
      <c r="BK51" s="28">
        <f>PROGRAMADO!BK51/'Anexo '!$J$20</f>
        <v>31865965.08201047</v>
      </c>
      <c r="BL51" s="28">
        <f>PROGRAMADO!BL51/'Anexo '!$J$20</f>
        <v>33747279.415675148</v>
      </c>
      <c r="BM51" s="28">
        <f>PROGRAMADO!BM51/'Anexo '!$K$20</f>
        <v>0</v>
      </c>
      <c r="BN51" s="28">
        <f>PROGRAMADO!BN51/'Anexo '!$K$20</f>
        <v>0</v>
      </c>
      <c r="BO51" s="28">
        <f>PROGRAMADO!BO51/'Anexo '!$K$20</f>
        <v>0</v>
      </c>
      <c r="BP51" s="28">
        <f>PROGRAMADO!BP51/'Anexo '!$K$20</f>
        <v>0</v>
      </c>
      <c r="BQ51" s="28">
        <f>PROGRAMADO!BQ51/'Anexo '!$K$20</f>
        <v>0</v>
      </c>
      <c r="BR51" s="28">
        <f>PROGRAMADO!BR51/'Anexo '!$K$20</f>
        <v>0</v>
      </c>
      <c r="BS51" s="28">
        <f>PROGRAMADO!BS51/'Anexo '!$K$20</f>
        <v>0</v>
      </c>
      <c r="BT51" s="28">
        <f>PROGRAMADO!BT51/'Anexo '!$L$20</f>
        <v>0</v>
      </c>
      <c r="BU51" s="28">
        <f>PROGRAMADO!BU51/'Anexo '!$L$20</f>
        <v>0</v>
      </c>
      <c r="BV51" s="28">
        <f>PROGRAMADO!BV51/'Anexo '!$L$20</f>
        <v>0</v>
      </c>
      <c r="BW51" s="28">
        <f>PROGRAMADO!BW51/'Anexo '!$L$20</f>
        <v>0</v>
      </c>
      <c r="BX51" s="28">
        <f>PROGRAMADO!BX51/'Anexo '!$L$20</f>
        <v>0</v>
      </c>
      <c r="BY51" s="28">
        <f>PROGRAMADO!BY51/'Anexo '!$L$20</f>
        <v>0</v>
      </c>
      <c r="BZ51" s="28">
        <f>PROGRAMADO!BZ51/'Anexo '!$L$20</f>
        <v>0</v>
      </c>
      <c r="CA51" s="28">
        <f>PROGRAMADO!CA51/'Anexo '!$L$20</f>
        <v>0</v>
      </c>
      <c r="CB51" s="28">
        <f>PROGRAMADO!CB51/'Anexo '!$M$20</f>
        <v>0</v>
      </c>
      <c r="CC51" s="28">
        <f>PROGRAMADO!CC51/'Anexo '!$M$20</f>
        <v>0</v>
      </c>
      <c r="CD51" s="28">
        <f>PROGRAMADO!CD51/'Anexo '!$M$20</f>
        <v>0</v>
      </c>
      <c r="CE51" s="28">
        <f>PROGRAMADO!CE51/'Anexo '!$M$20</f>
        <v>0</v>
      </c>
      <c r="CF51" s="28">
        <f>PROGRAMADO!CF51/'Anexo '!$M$20</f>
        <v>0</v>
      </c>
      <c r="CG51" s="28">
        <f>PROGRAMADO!CG51/'Anexo '!$M$20</f>
        <v>0</v>
      </c>
      <c r="CH51" s="28">
        <f>PROGRAMADO!CH51/'Anexo '!$M$20</f>
        <v>0</v>
      </c>
      <c r="CI51" s="29">
        <f>PROGRAMADO!CI51/'Anexo '!$M$20</f>
        <v>0</v>
      </c>
    </row>
    <row r="52" spans="1:87" x14ac:dyDescent="0.25">
      <c r="A52" s="23" t="s">
        <v>42</v>
      </c>
      <c r="B52" s="28">
        <f>PROGRAMADO!B52/'Anexo '!$B$20</f>
        <v>0</v>
      </c>
      <c r="C52" s="28">
        <f>PROGRAMADO!C52/'Anexo '!$B$20</f>
        <v>0</v>
      </c>
      <c r="D52" s="28">
        <f>PROGRAMADO!D52/'Anexo '!$B$20</f>
        <v>0</v>
      </c>
      <c r="E52" s="28">
        <f>PROGRAMADO!E52/'Anexo '!$B$20</f>
        <v>0</v>
      </c>
      <c r="F52" s="28">
        <f>PROGRAMADO!F52/'Anexo '!$B$20</f>
        <v>0</v>
      </c>
      <c r="G52" s="28">
        <f>PROGRAMADO!G52/'Anexo '!$B$20</f>
        <v>0</v>
      </c>
      <c r="H52" s="28">
        <f>PROGRAMADO!H52/'Anexo '!$B$20</f>
        <v>0</v>
      </c>
      <c r="I52" s="28">
        <f>PROGRAMADO!I52/'Anexo '!$C$20</f>
        <v>0</v>
      </c>
      <c r="J52" s="28">
        <f>PROGRAMADO!J52/'Anexo '!$C$20</f>
        <v>0</v>
      </c>
      <c r="K52" s="28">
        <f>PROGRAMADO!K52/'Anexo '!$C$20</f>
        <v>0</v>
      </c>
      <c r="L52" s="28">
        <f>PROGRAMADO!L52/'Anexo '!$C$20</f>
        <v>0</v>
      </c>
      <c r="M52" s="28">
        <f>PROGRAMADO!M52/'Anexo '!$C$20</f>
        <v>0</v>
      </c>
      <c r="N52" s="28">
        <f>PROGRAMADO!N52/'Anexo '!$C$20</f>
        <v>0</v>
      </c>
      <c r="O52" s="28">
        <f>PROGRAMADO!O52/'Anexo '!$C$20</f>
        <v>0</v>
      </c>
      <c r="P52" s="28">
        <f>PROGRAMADO!P52/'Anexo '!$D$20</f>
        <v>0</v>
      </c>
      <c r="Q52" s="28">
        <f>PROGRAMADO!Q52/'Anexo '!$D$20</f>
        <v>0</v>
      </c>
      <c r="R52" s="28">
        <f>PROGRAMADO!R52/'Anexo '!$D$20</f>
        <v>0</v>
      </c>
      <c r="S52" s="28">
        <f>PROGRAMADO!S52/'Anexo '!$D$20</f>
        <v>0</v>
      </c>
      <c r="T52" s="28">
        <f>PROGRAMADO!T52/'Anexo '!$D$20</f>
        <v>0</v>
      </c>
      <c r="U52" s="28">
        <f>PROGRAMADO!U52/'Anexo '!$D$20</f>
        <v>0</v>
      </c>
      <c r="V52" s="28">
        <f>PROGRAMADO!V52/'Anexo '!$D$20</f>
        <v>0</v>
      </c>
      <c r="W52" s="28">
        <f>PROGRAMADO!W52/'Anexo '!$E$13</f>
        <v>0</v>
      </c>
      <c r="X52" s="28">
        <f>PROGRAMADO!X52/'Anexo '!$E$13</f>
        <v>30672092.473844312</v>
      </c>
      <c r="Y52" s="28">
        <f>PROGRAMADO!Y52/'Anexo '!$E$13</f>
        <v>30672092.473844312</v>
      </c>
      <c r="Z52" s="28">
        <f>PROGRAMADO!Z52/'Anexo '!$E$13</f>
        <v>14515399.345575418</v>
      </c>
      <c r="AA52" s="28">
        <f>PROGRAMADO!AA52/'Anexo '!$E$13</f>
        <v>47671810.852128863</v>
      </c>
      <c r="AB52" s="28">
        <f>PROGRAMADO!AB52/'Anexo '!$E$13</f>
        <v>62187210.197704278</v>
      </c>
      <c r="AC52" s="28">
        <f>PROGRAMADO!AC52/'Anexo '!$E$13</f>
        <v>92859302.67154859</v>
      </c>
      <c r="AD52" s="28">
        <f>PROGRAMADO!AD52/'Anexo '!$F$20</f>
        <v>0</v>
      </c>
      <c r="AE52" s="28">
        <f>PROGRAMADO!AE52/'Anexo '!$F$20</f>
        <v>28174867.000000007</v>
      </c>
      <c r="AF52" s="28">
        <f>PROGRAMADO!AF52/'Anexo '!$F$20</f>
        <v>28.174867000000006</v>
      </c>
      <c r="AG52" s="28">
        <f>PROGRAMADO!AG52/'Anexo '!$F$20</f>
        <v>11820778.000000002</v>
      </c>
      <c r="AH52" s="28">
        <f>PROGRAMADO!AH52/'Anexo '!$F$20</f>
        <v>38632000.000000007</v>
      </c>
      <c r="AI52" s="28">
        <f>PROGRAMADO!AI52/'Anexo '!$F$20</f>
        <v>50452778.000000015</v>
      </c>
      <c r="AJ52" s="28">
        <f>PROGRAMADO!AJ52/'Anexo '!$F$20</f>
        <v>78627645.000000015</v>
      </c>
      <c r="AK52" s="28">
        <f>PROGRAMADO!AK52/'Anexo '!$G$20</f>
        <v>0</v>
      </c>
      <c r="AL52" s="28">
        <f>PROGRAMADO!AL52/'Anexo '!$G$20</f>
        <v>28500135.803182457</v>
      </c>
      <c r="AM52" s="28">
        <f>PROGRAMADO!AM52/'Anexo '!$G$20</f>
        <v>28500135.803182457</v>
      </c>
      <c r="AN52" s="28">
        <f>PROGRAMADO!AN52/'Anexo '!$G$20</f>
        <v>32729555.956374731</v>
      </c>
      <c r="AO52" s="28">
        <f>PROGRAMADO!AO52/'Anexo '!$G$20</f>
        <v>52440249.877855718</v>
      </c>
      <c r="AP52" s="28">
        <f>PROGRAMADO!AP52/'Anexo '!$G$20</f>
        <v>85169805.834230453</v>
      </c>
      <c r="AQ52" s="28">
        <f>PROGRAMADO!AQ52/'Anexo '!$G$20</f>
        <v>113669941.63741291</v>
      </c>
      <c r="AR52" s="28">
        <f>PROGRAMADO!AR52/'Anexo '!$H$20</f>
        <v>0</v>
      </c>
      <c r="AS52" s="28">
        <f>PROGRAMADO!AS52/'Anexo '!$H$20</f>
        <v>21351372.664482668</v>
      </c>
      <c r="AT52" s="28">
        <f>PROGRAMADO!AT52/'Anexo '!$H$20</f>
        <v>21351372.664482668</v>
      </c>
      <c r="AU52" s="28">
        <f>PROGRAMADO!AU52/'Anexo '!$H$20</f>
        <v>3072447.0036323704</v>
      </c>
      <c r="AV52" s="28">
        <f>PROGRAMADO!AV52/'Anexo '!$H$20</f>
        <v>53314863.408034064</v>
      </c>
      <c r="AW52" s="28">
        <f>PROGRAMADO!AW52/'Anexo '!$H$20</f>
        <v>56387310.411666423</v>
      </c>
      <c r="AX52" s="28">
        <f>PROGRAMADO!AX52/'Anexo '!$H$20</f>
        <v>77738683.076149106</v>
      </c>
      <c r="AY52" s="28">
        <f>PROGRAMADO!AY52/'Anexo '!$I$20</f>
        <v>0</v>
      </c>
      <c r="AZ52" s="28">
        <f>PROGRAMADO!AZ52/'Anexo '!$I$20</f>
        <v>22627936.353964034</v>
      </c>
      <c r="BA52" s="28">
        <f>PROGRAMADO!BA52/'Anexo '!$I$20</f>
        <v>22627936.353964034</v>
      </c>
      <c r="BB52" s="28">
        <f>PROGRAMADO!BB52/'Anexo '!$I$20</f>
        <v>3012429.75182983</v>
      </c>
      <c r="BC52" s="28">
        <f>PROGRAMADO!BC52/'Anexo '!$I$20</f>
        <v>38099870.385706112</v>
      </c>
      <c r="BD52" s="28">
        <f>PROGRAMADO!BD52/'Anexo '!$I$20</f>
        <v>41112300.137535945</v>
      </c>
      <c r="BE52" s="28">
        <f>PROGRAMADO!BE52/'Anexo '!$I$20</f>
        <v>63740236.491499975</v>
      </c>
      <c r="BF52" s="28">
        <f>PROGRAMADO!BF52/'Anexo '!$J$20</f>
        <v>0</v>
      </c>
      <c r="BG52" s="28">
        <f>PROGRAMADO!BG52/'Anexo '!$J$20</f>
        <v>8372560.4524462614</v>
      </c>
      <c r="BH52" s="28">
        <f>PROGRAMADO!BH52/'Anexo '!$J$20</f>
        <v>8372560.4524462614</v>
      </c>
      <c r="BI52" s="28">
        <f>PROGRAMADO!BI52/'Anexo '!$J$20</f>
        <v>0</v>
      </c>
      <c r="BJ52" s="28">
        <f>PROGRAMADO!BJ52/'Anexo '!$J$20</f>
        <v>78121571.844633311</v>
      </c>
      <c r="BK52" s="28">
        <f>PROGRAMADO!BK52/'Anexo '!$J$20</f>
        <v>78121571.844633311</v>
      </c>
      <c r="BL52" s="28">
        <f>PROGRAMADO!BL52/'Anexo '!$J$20</f>
        <v>86494132.297079563</v>
      </c>
      <c r="BM52" s="28">
        <f>PROGRAMADO!BM52/'Anexo '!$K$20</f>
        <v>0</v>
      </c>
      <c r="BN52" s="28">
        <f>PROGRAMADO!BN52/'Anexo '!$K$20</f>
        <v>84805436.91943486</v>
      </c>
      <c r="BO52" s="28">
        <f>PROGRAMADO!BO52/'Anexo '!$K$20</f>
        <v>84805436.91943486</v>
      </c>
      <c r="BP52" s="28">
        <f>PROGRAMADO!BP52/'Anexo '!$K$20</f>
        <v>0</v>
      </c>
      <c r="BQ52" s="28">
        <f>PROGRAMADO!BQ52/'Anexo '!$K$20</f>
        <v>36755859.692561008</v>
      </c>
      <c r="BR52" s="28">
        <f>PROGRAMADO!BR52/'Anexo '!$K$20</f>
        <v>36755859.692561008</v>
      </c>
      <c r="BS52" s="28">
        <f>PROGRAMADO!BS52/'Anexo '!$K$20</f>
        <v>121561296.61199586</v>
      </c>
      <c r="BT52" s="28">
        <f>PROGRAMADO!BT52/'Anexo '!$L$20</f>
        <v>0</v>
      </c>
      <c r="BU52" s="28">
        <f>PROGRAMADO!BU52/'Anexo '!$L$20</f>
        <v>83864723.005157724</v>
      </c>
      <c r="BV52" s="28">
        <f>PROGRAMADO!BV52/'Anexo '!$L$20</f>
        <v>0</v>
      </c>
      <c r="BW52" s="28">
        <f>PROGRAMADO!BW52/'Anexo '!$L$20</f>
        <v>83864723.005157724</v>
      </c>
      <c r="BX52" s="28">
        <f>PROGRAMADO!BX52/'Anexo '!$L$20</f>
        <v>0</v>
      </c>
      <c r="BY52" s="28">
        <f>PROGRAMADO!BY52/'Anexo '!$L$20</f>
        <v>20018172.262596559</v>
      </c>
      <c r="BZ52" s="28">
        <f>PROGRAMADO!BZ52/'Anexo '!$L$20</f>
        <v>20018172.262596559</v>
      </c>
      <c r="CA52" s="28">
        <f>PROGRAMADO!CA52/'Anexo '!$L$20</f>
        <v>103882895.26775429</v>
      </c>
      <c r="CB52" s="28">
        <f>PROGRAMADO!CB52/'Anexo '!$M$20</f>
        <v>0</v>
      </c>
      <c r="CC52" s="28">
        <f>PROGRAMADO!CC52/'Anexo '!$M$20</f>
        <v>0</v>
      </c>
      <c r="CD52" s="28">
        <f>PROGRAMADO!CD52/'Anexo '!$M$20</f>
        <v>0</v>
      </c>
      <c r="CE52" s="28">
        <f>PROGRAMADO!CE52/'Anexo '!$M$20</f>
        <v>0</v>
      </c>
      <c r="CF52" s="28">
        <f>PROGRAMADO!CF52/'Anexo '!$M$20</f>
        <v>0</v>
      </c>
      <c r="CG52" s="28">
        <f>PROGRAMADO!CG52/'Anexo '!$M$20</f>
        <v>0</v>
      </c>
      <c r="CH52" s="28">
        <f>PROGRAMADO!CH52/'Anexo '!$M$20</f>
        <v>0</v>
      </c>
      <c r="CI52" s="29">
        <f>PROGRAMADO!CI52/'Anexo '!$M$20</f>
        <v>0</v>
      </c>
    </row>
    <row r="53" spans="1:87" x14ac:dyDescent="0.25">
      <c r="A53" s="23" t="s">
        <v>78</v>
      </c>
      <c r="B53" s="28">
        <f>PROGRAMADO!B53/'Anexo '!$B$20</f>
        <v>0</v>
      </c>
      <c r="C53" s="28">
        <f>PROGRAMADO!C53/'Anexo '!$B$20</f>
        <v>0</v>
      </c>
      <c r="D53" s="28">
        <f>PROGRAMADO!D53/'Anexo '!$B$20</f>
        <v>0</v>
      </c>
      <c r="E53" s="28">
        <f>PROGRAMADO!E53/'Anexo '!$B$20</f>
        <v>0</v>
      </c>
      <c r="F53" s="28">
        <f>PROGRAMADO!F53/'Anexo '!$B$20</f>
        <v>0</v>
      </c>
      <c r="G53" s="28">
        <f>PROGRAMADO!G53/'Anexo '!$B$20</f>
        <v>0</v>
      </c>
      <c r="H53" s="28">
        <f>PROGRAMADO!H53/'Anexo '!$B$20</f>
        <v>0</v>
      </c>
      <c r="I53" s="28">
        <f>PROGRAMADO!I53/'Anexo '!$C$20</f>
        <v>0</v>
      </c>
      <c r="J53" s="28">
        <f>PROGRAMADO!J53/'Anexo '!$C$20</f>
        <v>0</v>
      </c>
      <c r="K53" s="28">
        <f>PROGRAMADO!K53/'Anexo '!$C$20</f>
        <v>0</v>
      </c>
      <c r="L53" s="28">
        <f>PROGRAMADO!L53/'Anexo '!$C$20</f>
        <v>0</v>
      </c>
      <c r="M53" s="28">
        <f>PROGRAMADO!M53/'Anexo '!$C$20</f>
        <v>0</v>
      </c>
      <c r="N53" s="28">
        <f>PROGRAMADO!N53/'Anexo '!$C$20</f>
        <v>0</v>
      </c>
      <c r="O53" s="28">
        <f>PROGRAMADO!O53/'Anexo '!$C$20</f>
        <v>0</v>
      </c>
      <c r="P53" s="28">
        <f>PROGRAMADO!P53/'Anexo '!$D$20</f>
        <v>0</v>
      </c>
      <c r="Q53" s="28">
        <f>PROGRAMADO!Q53/'Anexo '!$D$20</f>
        <v>0</v>
      </c>
      <c r="R53" s="28">
        <f>PROGRAMADO!R53/'Anexo '!$D$20</f>
        <v>0</v>
      </c>
      <c r="S53" s="28">
        <f>PROGRAMADO!S53/'Anexo '!$D$20</f>
        <v>0</v>
      </c>
      <c r="T53" s="28">
        <f>PROGRAMADO!T53/'Anexo '!$D$20</f>
        <v>0</v>
      </c>
      <c r="U53" s="28">
        <f>PROGRAMADO!U53/'Anexo '!$D$20</f>
        <v>0</v>
      </c>
      <c r="V53" s="28">
        <f>PROGRAMADO!V53/'Anexo '!$D$20</f>
        <v>0</v>
      </c>
      <c r="W53" s="28">
        <f>PROGRAMADO!W53/'Anexo '!$E$13</f>
        <v>0</v>
      </c>
      <c r="X53" s="28">
        <f>PROGRAMADO!X53/'Anexo '!$E$13</f>
        <v>23774727.428090509</v>
      </c>
      <c r="Y53" s="28">
        <f>PROGRAMADO!Y53/'Anexo '!$E$13</f>
        <v>23774727.428090509</v>
      </c>
      <c r="Z53" s="28">
        <f>PROGRAMADO!Z53/'Anexo '!$E$13</f>
        <v>60231564.273664869</v>
      </c>
      <c r="AA53" s="28">
        <f>PROGRAMADO!AA53/'Anexo '!$E$13</f>
        <v>81321911.436350763</v>
      </c>
      <c r="AB53" s="28">
        <f>PROGRAMADO!AB53/'Anexo '!$E$13</f>
        <v>141553475.71001562</v>
      </c>
      <c r="AC53" s="28">
        <f>PROGRAMADO!AC53/'Anexo '!$E$13</f>
        <v>165328203.13810614</v>
      </c>
      <c r="AD53" s="28">
        <f>PROGRAMADO!AD53/'Anexo '!$F$20</f>
        <v>0</v>
      </c>
      <c r="AE53" s="28">
        <f>PROGRAMADO!AE53/'Anexo '!$F$20</f>
        <v>22604832.000000004</v>
      </c>
      <c r="AF53" s="28">
        <f>PROGRAMADO!AF53/'Anexo '!$F$20</f>
        <v>22604832.000000004</v>
      </c>
      <c r="AG53" s="28">
        <f>PROGRAMADO!AG53/'Anexo '!$F$20</f>
        <v>93015723.000000015</v>
      </c>
      <c r="AH53" s="28">
        <f>PROGRAMADO!AH53/'Anexo '!$F$20</f>
        <v>119900789.00000003</v>
      </c>
      <c r="AI53" s="28">
        <f>PROGRAMADO!AI53/'Anexo '!$F$20</f>
        <v>212916512.00000006</v>
      </c>
      <c r="AJ53" s="28">
        <f>PROGRAMADO!AJ53/'Anexo '!$F$20</f>
        <v>235521344.00000006</v>
      </c>
      <c r="AK53" s="28">
        <f>PROGRAMADO!AK53/'Anexo '!$G$20</f>
        <v>0</v>
      </c>
      <c r="AL53" s="28">
        <f>PROGRAMADO!AL53/'Anexo '!$G$20</f>
        <v>28121702.449947059</v>
      </c>
      <c r="AM53" s="28">
        <f>PROGRAMADO!AM53/'Anexo '!$G$20</f>
        <v>28121702.449947059</v>
      </c>
      <c r="AN53" s="28">
        <f>PROGRAMADO!AN53/'Anexo '!$G$20</f>
        <v>85071595.316257209</v>
      </c>
      <c r="AO53" s="28">
        <f>PROGRAMADO!AO53/'Anexo '!$G$20</f>
        <v>51665554.436430976</v>
      </c>
      <c r="AP53" s="28">
        <f>PROGRAMADO!AP53/'Anexo '!$G$20</f>
        <v>136737149.7526882</v>
      </c>
      <c r="AQ53" s="28">
        <f>PROGRAMADO!AQ53/'Anexo '!$G$20</f>
        <v>164858852.20263526</v>
      </c>
      <c r="AR53" s="28">
        <f>PROGRAMADO!AR53/'Anexo '!$H$20</f>
        <v>0</v>
      </c>
      <c r="AS53" s="28">
        <f>PROGRAMADO!AS53/'Anexo '!$H$20</f>
        <v>0</v>
      </c>
      <c r="AT53" s="28">
        <f>PROGRAMADO!AT53/'Anexo '!$H$20</f>
        <v>0</v>
      </c>
      <c r="AU53" s="28">
        <f>PROGRAMADO!AU53/'Anexo '!$H$20</f>
        <v>0</v>
      </c>
      <c r="AV53" s="28">
        <f>PROGRAMADO!AV53/'Anexo '!$H$20</f>
        <v>0</v>
      </c>
      <c r="AW53" s="28">
        <f>PROGRAMADO!AW53/'Anexo '!$H$20</f>
        <v>0</v>
      </c>
      <c r="AX53" s="28">
        <f>PROGRAMADO!AX53/'Anexo '!$H$20</f>
        <v>0</v>
      </c>
      <c r="AY53" s="28">
        <f>PROGRAMADO!AY53/'Anexo '!$I$20</f>
        <v>0</v>
      </c>
      <c r="AZ53" s="28">
        <f>PROGRAMADO!AZ53/'Anexo '!$I$20</f>
        <v>0</v>
      </c>
      <c r="BA53" s="28">
        <f>PROGRAMADO!BA53/'Anexo '!$I$20</f>
        <v>0</v>
      </c>
      <c r="BB53" s="28">
        <f>PROGRAMADO!BB53/'Anexo '!$I$20</f>
        <v>0</v>
      </c>
      <c r="BC53" s="28">
        <f>PROGRAMADO!BC53/'Anexo '!$I$20</f>
        <v>0</v>
      </c>
      <c r="BD53" s="28">
        <f>PROGRAMADO!BD53/'Anexo '!$I$20</f>
        <v>0</v>
      </c>
      <c r="BE53" s="28">
        <f>PROGRAMADO!BE53/'Anexo '!$I$20</f>
        <v>0</v>
      </c>
      <c r="BF53" s="28">
        <f>PROGRAMADO!BF53/'Anexo '!$J$20</f>
        <v>0</v>
      </c>
      <c r="BG53" s="28">
        <f>PROGRAMADO!BG53/'Anexo '!$J$20</f>
        <v>0</v>
      </c>
      <c r="BH53" s="28">
        <f>PROGRAMADO!BH53/'Anexo '!$J$20</f>
        <v>0</v>
      </c>
      <c r="BI53" s="28">
        <f>PROGRAMADO!BI53/'Anexo '!$J$20</f>
        <v>0</v>
      </c>
      <c r="BJ53" s="28">
        <f>PROGRAMADO!BJ53/'Anexo '!$J$20</f>
        <v>0</v>
      </c>
      <c r="BK53" s="28">
        <f>PROGRAMADO!BK53/'Anexo '!$J$20</f>
        <v>0</v>
      </c>
      <c r="BL53" s="28">
        <f>PROGRAMADO!BL53/'Anexo '!$J$20</f>
        <v>0</v>
      </c>
      <c r="BM53" s="28">
        <f>PROGRAMADO!BM53/'Anexo '!$K$20</f>
        <v>0</v>
      </c>
      <c r="BN53" s="28">
        <f>PROGRAMADO!BN53/'Anexo '!$K$20</f>
        <v>0</v>
      </c>
      <c r="BO53" s="28">
        <f>PROGRAMADO!BO53/'Anexo '!$K$20</f>
        <v>0</v>
      </c>
      <c r="BP53" s="28">
        <f>PROGRAMADO!BP53/'Anexo '!$K$20</f>
        <v>0</v>
      </c>
      <c r="BQ53" s="28">
        <f>PROGRAMADO!BQ53/'Anexo '!$K$20</f>
        <v>0</v>
      </c>
      <c r="BR53" s="28">
        <f>PROGRAMADO!BR53/'Anexo '!$K$20</f>
        <v>0</v>
      </c>
      <c r="BS53" s="28">
        <f>PROGRAMADO!BS53/'Anexo '!$K$20</f>
        <v>0</v>
      </c>
      <c r="BT53" s="28">
        <f>PROGRAMADO!BT53/'Anexo '!$L$20</f>
        <v>0</v>
      </c>
      <c r="BU53" s="28">
        <f>PROGRAMADO!BU53/'Anexo '!$L$20</f>
        <v>0</v>
      </c>
      <c r="BV53" s="28">
        <f>PROGRAMADO!BV53/'Anexo '!$L$20</f>
        <v>0</v>
      </c>
      <c r="BW53" s="28">
        <f>PROGRAMADO!BW53/'Anexo '!$L$20</f>
        <v>0</v>
      </c>
      <c r="BX53" s="28">
        <f>PROGRAMADO!BX53/'Anexo '!$L$20</f>
        <v>0</v>
      </c>
      <c r="BY53" s="28">
        <f>PROGRAMADO!BY53/'Anexo '!$L$20</f>
        <v>0</v>
      </c>
      <c r="BZ53" s="28">
        <f>PROGRAMADO!BZ53/'Anexo '!$L$20</f>
        <v>0</v>
      </c>
      <c r="CA53" s="28">
        <f>PROGRAMADO!CA53/'Anexo '!$L$20</f>
        <v>0</v>
      </c>
      <c r="CB53" s="28">
        <f>PROGRAMADO!CB53/'Anexo '!$M$20</f>
        <v>0</v>
      </c>
      <c r="CC53" s="28">
        <f>PROGRAMADO!CC53/'Anexo '!$M$20</f>
        <v>0</v>
      </c>
      <c r="CD53" s="28">
        <f>PROGRAMADO!CD53/'Anexo '!$M$20</f>
        <v>0</v>
      </c>
      <c r="CE53" s="28">
        <f>PROGRAMADO!CE53/'Anexo '!$M$20</f>
        <v>0</v>
      </c>
      <c r="CF53" s="28">
        <f>PROGRAMADO!CF53/'Anexo '!$M$20</f>
        <v>0</v>
      </c>
      <c r="CG53" s="28">
        <f>PROGRAMADO!CG53/'Anexo '!$M$20</f>
        <v>0</v>
      </c>
      <c r="CH53" s="28">
        <f>PROGRAMADO!CH53/'Anexo '!$M$20</f>
        <v>0</v>
      </c>
      <c r="CI53" s="29">
        <f>PROGRAMADO!CI53/'Anexo '!$M$20</f>
        <v>0</v>
      </c>
    </row>
    <row r="54" spans="1:87" x14ac:dyDescent="0.25">
      <c r="A54" s="23" t="s">
        <v>92</v>
      </c>
      <c r="B54" s="28">
        <f>PROGRAMADO!B54/'Anexo '!$B$20</f>
        <v>0</v>
      </c>
      <c r="C54" s="28">
        <f>PROGRAMADO!C54/'Anexo '!$B$20</f>
        <v>0</v>
      </c>
      <c r="D54" s="28">
        <f>PROGRAMADO!D54/'Anexo '!$B$20</f>
        <v>0</v>
      </c>
      <c r="E54" s="28">
        <f>PROGRAMADO!E54/'Anexo '!$B$20</f>
        <v>0</v>
      </c>
      <c r="F54" s="28">
        <f>PROGRAMADO!F54/'Anexo '!$B$20</f>
        <v>0</v>
      </c>
      <c r="G54" s="28">
        <f>PROGRAMADO!G54/'Anexo '!$B$20</f>
        <v>0</v>
      </c>
      <c r="H54" s="28">
        <f>PROGRAMADO!H54/'Anexo '!$B$20</f>
        <v>0</v>
      </c>
      <c r="I54" s="28">
        <f>PROGRAMADO!I54/'Anexo '!$C$20</f>
        <v>0</v>
      </c>
      <c r="J54" s="28">
        <f>PROGRAMADO!J54/'Anexo '!$C$20</f>
        <v>0</v>
      </c>
      <c r="K54" s="28">
        <f>PROGRAMADO!K54/'Anexo '!$C$20</f>
        <v>0</v>
      </c>
      <c r="L54" s="28">
        <f>PROGRAMADO!L54/'Anexo '!$C$20</f>
        <v>0</v>
      </c>
      <c r="M54" s="28">
        <f>PROGRAMADO!M54/'Anexo '!$C$20</f>
        <v>0</v>
      </c>
      <c r="N54" s="28">
        <f>PROGRAMADO!N54/'Anexo '!$C$20</f>
        <v>0</v>
      </c>
      <c r="O54" s="28">
        <f>PROGRAMADO!O54/'Anexo '!$C$20</f>
        <v>0</v>
      </c>
      <c r="P54" s="28">
        <f>PROGRAMADO!P54/'Anexo '!$D$20</f>
        <v>0</v>
      </c>
      <c r="Q54" s="28">
        <f>PROGRAMADO!Q54/'Anexo '!$D$20</f>
        <v>0</v>
      </c>
      <c r="R54" s="28">
        <f>PROGRAMADO!R54/'Anexo '!$D$20</f>
        <v>0</v>
      </c>
      <c r="S54" s="28">
        <f>PROGRAMADO!S54/'Anexo '!$D$20</f>
        <v>0</v>
      </c>
      <c r="T54" s="28">
        <f>PROGRAMADO!T54/'Anexo '!$D$20</f>
        <v>0</v>
      </c>
      <c r="U54" s="28">
        <f>PROGRAMADO!U54/'Anexo '!$D$20</f>
        <v>0</v>
      </c>
      <c r="V54" s="28">
        <f>PROGRAMADO!V54/'Anexo '!$D$20</f>
        <v>0</v>
      </c>
      <c r="W54" s="28">
        <f>PROGRAMADO!W54/'Anexo '!$E$13</f>
        <v>0</v>
      </c>
      <c r="X54" s="28">
        <f>PROGRAMADO!X54/'Anexo '!$E$13</f>
        <v>5576744.086153511</v>
      </c>
      <c r="Y54" s="28">
        <f>PROGRAMADO!Y54/'Anexo '!$E$13</f>
        <v>5576744.086153511</v>
      </c>
      <c r="Z54" s="28">
        <f>PROGRAMADO!Z54/'Anexo '!$E$13</f>
        <v>0</v>
      </c>
      <c r="AA54" s="28">
        <f>PROGRAMADO!AA54/'Anexo '!$E$13</f>
        <v>33404697.076059535</v>
      </c>
      <c r="AB54" s="28">
        <f>PROGRAMADO!AB54/'Anexo '!$E$13</f>
        <v>33404697.076059535</v>
      </c>
      <c r="AC54" s="28">
        <f>PROGRAMADO!AC54/'Anexo '!$E$13</f>
        <v>38981441.162213042</v>
      </c>
      <c r="AD54" s="28">
        <f>PROGRAMADO!AD54/'Anexo '!$F$20</f>
        <v>0</v>
      </c>
      <c r="AE54" s="28">
        <f>PROGRAMADO!AE54/'Anexo '!$F$20</f>
        <v>3709648.0000000009</v>
      </c>
      <c r="AF54" s="28">
        <f>PROGRAMADO!AF54/'Anexo '!$F$20</f>
        <v>3709648.0000000009</v>
      </c>
      <c r="AG54" s="28">
        <f>PROGRAMADO!AG54/'Anexo '!$F$20</f>
        <v>0</v>
      </c>
      <c r="AH54" s="28">
        <f>PROGRAMADO!AH54/'Anexo '!$F$20</f>
        <v>60782690.000000015</v>
      </c>
      <c r="AI54" s="28">
        <f>PROGRAMADO!AI54/'Anexo '!$F$20</f>
        <v>60782690.000000015</v>
      </c>
      <c r="AJ54" s="28">
        <f>PROGRAMADO!AJ54/'Anexo '!$F$20</f>
        <v>64492338.000000015</v>
      </c>
      <c r="AK54" s="28">
        <f>PROGRAMADO!AK54/'Anexo '!$G$20</f>
        <v>0</v>
      </c>
      <c r="AL54" s="28">
        <f>PROGRAMADO!AL54/'Anexo '!$G$20</f>
        <v>1250293.3576494001</v>
      </c>
      <c r="AM54" s="28">
        <f>PROGRAMADO!AM54/'Anexo '!$G$20</f>
        <v>1250293.3576494001</v>
      </c>
      <c r="AN54" s="28">
        <f>PROGRAMADO!AN54/'Anexo '!$G$20</f>
        <v>3022914.4041908858</v>
      </c>
      <c r="AO54" s="28">
        <f>PROGRAMADO!AO54/'Anexo '!$G$20</f>
        <v>38942673.911889501</v>
      </c>
      <c r="AP54" s="28">
        <f>PROGRAMADO!AP54/'Anexo '!$G$20</f>
        <v>41965588.316080384</v>
      </c>
      <c r="AQ54" s="28">
        <f>PROGRAMADO!AQ54/'Anexo '!$G$20</f>
        <v>43215881.673729785</v>
      </c>
      <c r="AR54" s="28">
        <f>PROGRAMADO!AR54/'Anexo '!$H$20</f>
        <v>0</v>
      </c>
      <c r="AS54" s="28">
        <f>PROGRAMADO!AS54/'Anexo '!$H$20</f>
        <v>2277186.8914644294</v>
      </c>
      <c r="AT54" s="28">
        <f>PROGRAMADO!AT54/'Anexo '!$H$20</f>
        <v>2277186.8914644294</v>
      </c>
      <c r="AU54" s="28">
        <f>PROGRAMADO!AU54/'Anexo '!$H$20</f>
        <v>11596180.112977413</v>
      </c>
      <c r="AV54" s="28">
        <f>PROGRAMADO!AV54/'Anexo '!$H$20</f>
        <v>41316722.955317944</v>
      </c>
      <c r="AW54" s="28">
        <f>PROGRAMADO!AW54/'Anexo '!$H$20</f>
        <v>52912903.06829536</v>
      </c>
      <c r="AX54" s="28">
        <f>PROGRAMADO!AX54/'Anexo '!$H$20</f>
        <v>55190089.959759787</v>
      </c>
      <c r="AY54" s="28">
        <f>PROGRAMADO!AY54/'Anexo '!$I$20</f>
        <v>0</v>
      </c>
      <c r="AZ54" s="28">
        <f>PROGRAMADO!AZ54/'Anexo '!$I$20</f>
        <v>0</v>
      </c>
      <c r="BA54" s="28">
        <f>PROGRAMADO!BA54/'Anexo '!$I$20</f>
        <v>0</v>
      </c>
      <c r="BB54" s="28">
        <f>PROGRAMADO!BB54/'Anexo '!$I$20</f>
        <v>0</v>
      </c>
      <c r="BC54" s="28">
        <f>PROGRAMADO!BC54/'Anexo '!$I$20</f>
        <v>53543625.753310919</v>
      </c>
      <c r="BD54" s="28">
        <f>PROGRAMADO!BD54/'Anexo '!$I$20</f>
        <v>53543625.753310919</v>
      </c>
      <c r="BE54" s="28">
        <f>PROGRAMADO!BE54/'Anexo '!$I$20</f>
        <v>53543625.753310919</v>
      </c>
      <c r="BF54" s="28">
        <f>PROGRAMADO!BF54/'Anexo '!$J$20</f>
        <v>0</v>
      </c>
      <c r="BG54" s="28">
        <f>PROGRAMADO!BG54/'Anexo '!$J$20</f>
        <v>0</v>
      </c>
      <c r="BH54" s="28">
        <f>PROGRAMADO!BH54/'Anexo '!$J$20</f>
        <v>0</v>
      </c>
      <c r="BI54" s="28">
        <f>PROGRAMADO!BI54/'Anexo '!$J$20</f>
        <v>0</v>
      </c>
      <c r="BJ54" s="28">
        <f>PROGRAMADO!BJ54/'Anexo '!$J$20</f>
        <v>36625957.430860527</v>
      </c>
      <c r="BK54" s="28">
        <f>PROGRAMADO!BK54/'Anexo '!$J$20</f>
        <v>36625957.430860527</v>
      </c>
      <c r="BL54" s="28">
        <f>PROGRAMADO!BL54/'Anexo '!$J$20</f>
        <v>36625957.430860527</v>
      </c>
      <c r="BM54" s="28">
        <f>PROGRAMADO!BM54/'Anexo '!$K$20</f>
        <v>0</v>
      </c>
      <c r="BN54" s="28">
        <f>PROGRAMADO!BN54/'Anexo '!$K$20</f>
        <v>0</v>
      </c>
      <c r="BO54" s="28">
        <f>PROGRAMADO!BO54/'Anexo '!$K$20</f>
        <v>0</v>
      </c>
      <c r="BP54" s="28">
        <f>PROGRAMADO!BP54/'Anexo '!$K$20</f>
        <v>0</v>
      </c>
      <c r="BQ54" s="28">
        <f>PROGRAMADO!BQ54/'Anexo '!$K$20</f>
        <v>0</v>
      </c>
      <c r="BR54" s="28">
        <f>PROGRAMADO!BR54/'Anexo '!$K$20</f>
        <v>0</v>
      </c>
      <c r="BS54" s="28">
        <f>PROGRAMADO!BS54/'Anexo '!$K$20</f>
        <v>0</v>
      </c>
      <c r="BT54" s="28">
        <f>PROGRAMADO!BT54/'Anexo '!$L$20</f>
        <v>0</v>
      </c>
      <c r="BU54" s="28">
        <f>PROGRAMADO!BU54/'Anexo '!$L$20</f>
        <v>0</v>
      </c>
      <c r="BV54" s="28">
        <f>PROGRAMADO!BV54/'Anexo '!$L$20</f>
        <v>0</v>
      </c>
      <c r="BW54" s="28">
        <f>PROGRAMADO!BW54/'Anexo '!$L$20</f>
        <v>0</v>
      </c>
      <c r="BX54" s="28">
        <f>PROGRAMADO!BX54/'Anexo '!$L$20</f>
        <v>0</v>
      </c>
      <c r="BY54" s="28">
        <f>PROGRAMADO!BY54/'Anexo '!$L$20</f>
        <v>0</v>
      </c>
      <c r="BZ54" s="28">
        <f>PROGRAMADO!BZ54/'Anexo '!$L$20</f>
        <v>0</v>
      </c>
      <c r="CA54" s="28">
        <f>PROGRAMADO!CA54/'Anexo '!$L$20</f>
        <v>0</v>
      </c>
      <c r="CB54" s="28">
        <f>PROGRAMADO!CB54/'Anexo '!$M$20</f>
        <v>0</v>
      </c>
      <c r="CC54" s="28">
        <f>PROGRAMADO!CC54/'Anexo '!$M$20</f>
        <v>0</v>
      </c>
      <c r="CD54" s="28">
        <f>PROGRAMADO!CD54/'Anexo '!$M$20</f>
        <v>0</v>
      </c>
      <c r="CE54" s="28">
        <f>PROGRAMADO!CE54/'Anexo '!$M$20</f>
        <v>0</v>
      </c>
      <c r="CF54" s="28">
        <f>PROGRAMADO!CF54/'Anexo '!$M$20</f>
        <v>0</v>
      </c>
      <c r="CG54" s="28">
        <f>PROGRAMADO!CG54/'Anexo '!$M$20</f>
        <v>0</v>
      </c>
      <c r="CH54" s="28">
        <f>PROGRAMADO!CH54/'Anexo '!$M$20</f>
        <v>0</v>
      </c>
      <c r="CI54" s="29">
        <f>PROGRAMADO!CI54/'Anexo '!$M$20</f>
        <v>0</v>
      </c>
    </row>
    <row r="55" spans="1:87" x14ac:dyDescent="0.25">
      <c r="A55" s="23" t="s">
        <v>93</v>
      </c>
      <c r="B55" s="28">
        <f>PROGRAMADO!B55/'Anexo '!$B$20</f>
        <v>0</v>
      </c>
      <c r="C55" s="28">
        <f>PROGRAMADO!C55/'Anexo '!$B$20</f>
        <v>0</v>
      </c>
      <c r="D55" s="28">
        <f>PROGRAMADO!D55/'Anexo '!$B$20</f>
        <v>0</v>
      </c>
      <c r="E55" s="28">
        <f>PROGRAMADO!E55/'Anexo '!$B$20</f>
        <v>0</v>
      </c>
      <c r="F55" s="28">
        <f>PROGRAMADO!F55/'Anexo '!$B$20</f>
        <v>0</v>
      </c>
      <c r="G55" s="28">
        <f>PROGRAMADO!G55/'Anexo '!$B$20</f>
        <v>0</v>
      </c>
      <c r="H55" s="28">
        <f>PROGRAMADO!H55/'Anexo '!$B$20</f>
        <v>0</v>
      </c>
      <c r="I55" s="28">
        <f>PROGRAMADO!I55/'Anexo '!$C$20</f>
        <v>0</v>
      </c>
      <c r="J55" s="28">
        <f>PROGRAMADO!J55/'Anexo '!$C$20</f>
        <v>0</v>
      </c>
      <c r="K55" s="28">
        <f>PROGRAMADO!K55/'Anexo '!$C$20</f>
        <v>0</v>
      </c>
      <c r="L55" s="28">
        <f>PROGRAMADO!L55/'Anexo '!$C$20</f>
        <v>0</v>
      </c>
      <c r="M55" s="28">
        <f>PROGRAMADO!M55/'Anexo '!$C$20</f>
        <v>0</v>
      </c>
      <c r="N55" s="28">
        <f>PROGRAMADO!N55/'Anexo '!$C$20</f>
        <v>0</v>
      </c>
      <c r="O55" s="28">
        <f>PROGRAMADO!O55/'Anexo '!$C$20</f>
        <v>0</v>
      </c>
      <c r="P55" s="28">
        <f>PROGRAMADO!P55/'Anexo '!$D$20</f>
        <v>0</v>
      </c>
      <c r="Q55" s="28">
        <f>PROGRAMADO!Q55/'Anexo '!$D$20</f>
        <v>0</v>
      </c>
      <c r="R55" s="28">
        <f>PROGRAMADO!R55/'Anexo '!$D$20</f>
        <v>0</v>
      </c>
      <c r="S55" s="28">
        <f>PROGRAMADO!S55/'Anexo '!$D$20</f>
        <v>0</v>
      </c>
      <c r="T55" s="28">
        <f>PROGRAMADO!T55/'Anexo '!$D$20</f>
        <v>0</v>
      </c>
      <c r="U55" s="28">
        <f>PROGRAMADO!U55/'Anexo '!$D$20</f>
        <v>0</v>
      </c>
      <c r="V55" s="28">
        <f>PROGRAMADO!V55/'Anexo '!$D$20</f>
        <v>0</v>
      </c>
      <c r="W55" s="28">
        <f>PROGRAMADO!W55/'Anexo '!$E$13</f>
        <v>0</v>
      </c>
      <c r="X55" s="28">
        <f>PROGRAMADO!X55/'Anexo '!$E$13</f>
        <v>7807441.7206149157</v>
      </c>
      <c r="Y55" s="28">
        <f>PROGRAMADO!Y55/'Anexo '!$E$13</f>
        <v>7807441.7206149157</v>
      </c>
      <c r="Z55" s="28">
        <f>PROGRAMADO!Z55/'Anexo '!$E$13</f>
        <v>0</v>
      </c>
      <c r="AA55" s="28">
        <f>PROGRAMADO!AA55/'Anexo '!$E$13</f>
        <v>0</v>
      </c>
      <c r="AB55" s="28">
        <f>PROGRAMADO!AB55/'Anexo '!$E$13</f>
        <v>0</v>
      </c>
      <c r="AC55" s="28">
        <f>PROGRAMADO!AC55/'Anexo '!$E$13</f>
        <v>7807441.7206149157</v>
      </c>
      <c r="AD55" s="28">
        <f>PROGRAMADO!AD55/'Anexo '!$F$20</f>
        <v>0</v>
      </c>
      <c r="AE55" s="28">
        <f>PROGRAMADO!AE55/'Anexo '!$F$20</f>
        <v>7000000.0000000019</v>
      </c>
      <c r="AF55" s="28">
        <f>PROGRAMADO!AF55/'Anexo '!$F$20</f>
        <v>7000000.0000000019</v>
      </c>
      <c r="AG55" s="28">
        <f>PROGRAMADO!AG55/'Anexo '!$F$20</f>
        <v>0</v>
      </c>
      <c r="AH55" s="28">
        <f>PROGRAMADO!AH55/'Anexo '!$F$20</f>
        <v>0</v>
      </c>
      <c r="AI55" s="28">
        <f>PROGRAMADO!AI55/'Anexo '!$F$20</f>
        <v>0</v>
      </c>
      <c r="AJ55" s="28">
        <f>PROGRAMADO!AJ55/'Anexo '!$F$20</f>
        <v>7000000.0000000019</v>
      </c>
      <c r="AK55" s="28">
        <f>PROGRAMADO!AK55/'Anexo '!$G$20</f>
        <v>0</v>
      </c>
      <c r="AL55" s="28">
        <f>PROGRAMADO!AL55/'Anexo '!$G$20</f>
        <v>5985028.5186683154</v>
      </c>
      <c r="AM55" s="28">
        <f>PROGRAMADO!AM55/'Anexo '!$G$20</f>
        <v>5985028.5186683154</v>
      </c>
      <c r="AN55" s="28">
        <f>PROGRAMADO!AN55/'Anexo '!$G$20</f>
        <v>0</v>
      </c>
      <c r="AO55" s="28">
        <f>PROGRAMADO!AO55/'Anexo '!$G$20</f>
        <v>0</v>
      </c>
      <c r="AP55" s="28">
        <f>PROGRAMADO!AP55/'Anexo '!$G$20</f>
        <v>0</v>
      </c>
      <c r="AQ55" s="28">
        <f>PROGRAMADO!AQ55/'Anexo '!$G$20</f>
        <v>5985028.5186683154</v>
      </c>
      <c r="AR55" s="28">
        <f>PROGRAMADO!AR55/'Anexo '!$H$20</f>
        <v>0</v>
      </c>
      <c r="AS55" s="28">
        <f>PROGRAMADO!AS55/'Anexo '!$H$20</f>
        <v>0</v>
      </c>
      <c r="AT55" s="28">
        <f>PROGRAMADO!AT55/'Anexo '!$H$20</f>
        <v>0</v>
      </c>
      <c r="AU55" s="28">
        <f>PROGRAMADO!AU55/'Anexo '!$H$20</f>
        <v>0</v>
      </c>
      <c r="AV55" s="28">
        <f>PROGRAMADO!AV55/'Anexo '!$H$20</f>
        <v>0</v>
      </c>
      <c r="AW55" s="28">
        <f>PROGRAMADO!AW55/'Anexo '!$H$20</f>
        <v>0</v>
      </c>
      <c r="AX55" s="28">
        <f>PROGRAMADO!AX55/'Anexo '!$H$20</f>
        <v>0</v>
      </c>
      <c r="AY55" s="28">
        <f>PROGRAMADO!AY55/'Anexo '!$I$20</f>
        <v>0</v>
      </c>
      <c r="AZ55" s="28">
        <f>PROGRAMADO!AZ55/'Anexo '!$I$20</f>
        <v>0</v>
      </c>
      <c r="BA55" s="28">
        <f>PROGRAMADO!BA55/'Anexo '!$I$20</f>
        <v>0</v>
      </c>
      <c r="BB55" s="28">
        <f>PROGRAMADO!BB55/'Anexo '!$I$20</f>
        <v>0</v>
      </c>
      <c r="BC55" s="28">
        <f>PROGRAMADO!BC55/'Anexo '!$I$20</f>
        <v>0</v>
      </c>
      <c r="BD55" s="28">
        <f>PROGRAMADO!BD55/'Anexo '!$I$20</f>
        <v>0</v>
      </c>
      <c r="BE55" s="28">
        <f>PROGRAMADO!BE55/'Anexo '!$I$20</f>
        <v>0</v>
      </c>
      <c r="BF55" s="28">
        <f>PROGRAMADO!BF55/'Anexo '!$J$20</f>
        <v>0</v>
      </c>
      <c r="BG55" s="28">
        <f>PROGRAMADO!BG55/'Anexo '!$J$20</f>
        <v>0</v>
      </c>
      <c r="BH55" s="28">
        <f>PROGRAMADO!BH55/'Anexo '!$J$20</f>
        <v>0</v>
      </c>
      <c r="BI55" s="28">
        <f>PROGRAMADO!BI55/'Anexo '!$J$20</f>
        <v>0</v>
      </c>
      <c r="BJ55" s="28">
        <f>PROGRAMADO!BJ55/'Anexo '!$J$20</f>
        <v>0</v>
      </c>
      <c r="BK55" s="28">
        <f>PROGRAMADO!BK55/'Anexo '!$J$20</f>
        <v>0</v>
      </c>
      <c r="BL55" s="28">
        <f>PROGRAMADO!BL55/'Anexo '!$J$20</f>
        <v>0</v>
      </c>
      <c r="BM55" s="28">
        <f>PROGRAMADO!BM55/'Anexo '!$K$20</f>
        <v>0</v>
      </c>
      <c r="BN55" s="28">
        <f>PROGRAMADO!BN55/'Anexo '!$K$20</f>
        <v>0</v>
      </c>
      <c r="BO55" s="28">
        <f>PROGRAMADO!BO55/'Anexo '!$K$20</f>
        <v>0</v>
      </c>
      <c r="BP55" s="28">
        <f>PROGRAMADO!BP55/'Anexo '!$K$20</f>
        <v>0</v>
      </c>
      <c r="BQ55" s="28">
        <f>PROGRAMADO!BQ55/'Anexo '!$K$20</f>
        <v>0</v>
      </c>
      <c r="BR55" s="28">
        <f>PROGRAMADO!BR55/'Anexo '!$K$20</f>
        <v>0</v>
      </c>
      <c r="BS55" s="28">
        <f>PROGRAMADO!BS55/'Anexo '!$K$20</f>
        <v>0</v>
      </c>
      <c r="BT55" s="28">
        <f>PROGRAMADO!BT55/'Anexo '!$L$20</f>
        <v>0</v>
      </c>
      <c r="BU55" s="28">
        <f>PROGRAMADO!BU55/'Anexo '!$L$20</f>
        <v>0</v>
      </c>
      <c r="BV55" s="28">
        <f>PROGRAMADO!BV55/'Anexo '!$L$20</f>
        <v>0</v>
      </c>
      <c r="BW55" s="28">
        <f>PROGRAMADO!BW55/'Anexo '!$L$20</f>
        <v>0</v>
      </c>
      <c r="BX55" s="28">
        <f>PROGRAMADO!BX55/'Anexo '!$L$20</f>
        <v>0</v>
      </c>
      <c r="BY55" s="28">
        <f>PROGRAMADO!BY55/'Anexo '!$L$20</f>
        <v>0</v>
      </c>
      <c r="BZ55" s="28">
        <f>PROGRAMADO!BZ55/'Anexo '!$L$20</f>
        <v>0</v>
      </c>
      <c r="CA55" s="28">
        <f>PROGRAMADO!CA55/'Anexo '!$L$20</f>
        <v>0</v>
      </c>
      <c r="CB55" s="28">
        <f>PROGRAMADO!CB55/'Anexo '!$M$20</f>
        <v>0</v>
      </c>
      <c r="CC55" s="28">
        <f>PROGRAMADO!CC55/'Anexo '!$M$20</f>
        <v>0</v>
      </c>
      <c r="CD55" s="28">
        <f>PROGRAMADO!CD55/'Anexo '!$M$20</f>
        <v>0</v>
      </c>
      <c r="CE55" s="28">
        <f>PROGRAMADO!CE55/'Anexo '!$M$20</f>
        <v>0</v>
      </c>
      <c r="CF55" s="28">
        <f>PROGRAMADO!CF55/'Anexo '!$M$20</f>
        <v>0</v>
      </c>
      <c r="CG55" s="28">
        <f>PROGRAMADO!CG55/'Anexo '!$M$20</f>
        <v>0</v>
      </c>
      <c r="CH55" s="28">
        <f>PROGRAMADO!CH55/'Anexo '!$M$20</f>
        <v>0</v>
      </c>
      <c r="CI55" s="29">
        <f>PROGRAMADO!CI55/'Anexo '!$M$20</f>
        <v>0</v>
      </c>
    </row>
    <row r="56" spans="1:87" x14ac:dyDescent="0.25">
      <c r="A56" s="23" t="s">
        <v>94</v>
      </c>
      <c r="B56" s="28">
        <f>PROGRAMADO!B56/'Anexo '!$B$20</f>
        <v>0</v>
      </c>
      <c r="C56" s="28">
        <f>PROGRAMADO!C56/'Anexo '!$B$20</f>
        <v>0</v>
      </c>
      <c r="D56" s="28">
        <f>PROGRAMADO!D56/'Anexo '!$B$20</f>
        <v>0</v>
      </c>
      <c r="E56" s="28">
        <f>PROGRAMADO!E56/'Anexo '!$B$20</f>
        <v>0</v>
      </c>
      <c r="F56" s="28">
        <f>PROGRAMADO!F56/'Anexo '!$B$20</f>
        <v>0</v>
      </c>
      <c r="G56" s="28">
        <f>PROGRAMADO!G56/'Anexo '!$B$20</f>
        <v>0</v>
      </c>
      <c r="H56" s="28">
        <f>PROGRAMADO!H56/'Anexo '!$B$20</f>
        <v>0</v>
      </c>
      <c r="I56" s="28">
        <f>PROGRAMADO!I56/'Anexo '!$C$20</f>
        <v>0</v>
      </c>
      <c r="J56" s="28">
        <f>PROGRAMADO!J56/'Anexo '!$C$20</f>
        <v>0</v>
      </c>
      <c r="K56" s="28">
        <f>PROGRAMADO!K56/'Anexo '!$C$20</f>
        <v>0</v>
      </c>
      <c r="L56" s="28">
        <f>PROGRAMADO!L56/'Anexo '!$C$20</f>
        <v>0</v>
      </c>
      <c r="M56" s="28">
        <f>PROGRAMADO!M56/'Anexo '!$C$20</f>
        <v>0</v>
      </c>
      <c r="N56" s="28">
        <f>PROGRAMADO!N56/'Anexo '!$C$20</f>
        <v>0</v>
      </c>
      <c r="O56" s="28">
        <f>PROGRAMADO!O56/'Anexo '!$C$20</f>
        <v>0</v>
      </c>
      <c r="P56" s="28">
        <f>PROGRAMADO!P56/'Anexo '!$D$20</f>
        <v>0</v>
      </c>
      <c r="Q56" s="28">
        <f>PROGRAMADO!Q56/'Anexo '!$D$20</f>
        <v>0</v>
      </c>
      <c r="R56" s="28">
        <f>PROGRAMADO!R56/'Anexo '!$D$20</f>
        <v>0</v>
      </c>
      <c r="S56" s="28">
        <f>PROGRAMADO!S56/'Anexo '!$D$20</f>
        <v>0</v>
      </c>
      <c r="T56" s="28">
        <f>PROGRAMADO!T56/'Anexo '!$D$20</f>
        <v>0</v>
      </c>
      <c r="U56" s="28">
        <f>PROGRAMADO!U56/'Anexo '!$D$20</f>
        <v>0</v>
      </c>
      <c r="V56" s="28">
        <f>PROGRAMADO!V56/'Anexo '!$D$20</f>
        <v>0</v>
      </c>
      <c r="W56" s="28">
        <f>PROGRAMADO!W56/'Anexo '!$E$13</f>
        <v>0</v>
      </c>
      <c r="X56" s="28">
        <f>PROGRAMADO!X56/'Anexo '!$E$13</f>
        <v>5576744.086153511</v>
      </c>
      <c r="Y56" s="28">
        <f>PROGRAMADO!Y56/'Anexo '!$E$13</f>
        <v>5576744.086153511</v>
      </c>
      <c r="Z56" s="28">
        <f>PROGRAMADO!Z56/'Anexo '!$E$13</f>
        <v>0</v>
      </c>
      <c r="AA56" s="28">
        <f>PROGRAMADO!AA56/'Anexo '!$E$13</f>
        <v>0</v>
      </c>
      <c r="AB56" s="28">
        <f>PROGRAMADO!AB56/'Anexo '!$E$13</f>
        <v>0</v>
      </c>
      <c r="AC56" s="28">
        <f>PROGRAMADO!AC56/'Anexo '!$E$13</f>
        <v>5576744.086153511</v>
      </c>
      <c r="AD56" s="28">
        <f>PROGRAMADO!AD56/'Anexo '!$F$20</f>
        <v>0</v>
      </c>
      <c r="AE56" s="28">
        <f>PROGRAMADO!AE56/'Anexo '!$F$20</f>
        <v>5000000.0000000009</v>
      </c>
      <c r="AF56" s="28">
        <f>PROGRAMADO!AF56/'Anexo '!$F$20</f>
        <v>5000000.0000000009</v>
      </c>
      <c r="AG56" s="28">
        <f>PROGRAMADO!AG56/'Anexo '!$F$20</f>
        <v>0</v>
      </c>
      <c r="AH56" s="28">
        <f>PROGRAMADO!AH56/'Anexo '!$F$20</f>
        <v>0</v>
      </c>
      <c r="AI56" s="28">
        <f>PROGRAMADO!AI56/'Anexo '!$F$20</f>
        <v>0</v>
      </c>
      <c r="AJ56" s="28">
        <f>PROGRAMADO!AJ56/'Anexo '!$F$20</f>
        <v>5000000.0000000009</v>
      </c>
      <c r="AK56" s="28">
        <f>PROGRAMADO!AK56/'Anexo '!$G$20</f>
        <v>0</v>
      </c>
      <c r="AL56" s="28">
        <f>PROGRAMADO!AL56/'Anexo '!$G$20</f>
        <v>4275020.3704773681</v>
      </c>
      <c r="AM56" s="28">
        <f>PROGRAMADO!AM56/'Anexo '!$G$20</f>
        <v>4275020.3704773681</v>
      </c>
      <c r="AN56" s="28">
        <f>PROGRAMADO!AN56/'Anexo '!$G$20</f>
        <v>0</v>
      </c>
      <c r="AO56" s="28">
        <f>PROGRAMADO!AO56/'Anexo '!$G$20</f>
        <v>0</v>
      </c>
      <c r="AP56" s="28">
        <f>PROGRAMADO!AP56/'Anexo '!$G$20</f>
        <v>0</v>
      </c>
      <c r="AQ56" s="28">
        <f>PROGRAMADO!AQ56/'Anexo '!$G$20</f>
        <v>4275020.3704773681</v>
      </c>
      <c r="AR56" s="28">
        <f>PROGRAMADO!AR56/'Anexo '!$H$20</f>
        <v>0</v>
      </c>
      <c r="AS56" s="28">
        <f>PROGRAMADO!AS56/'Anexo '!$H$20</f>
        <v>0</v>
      </c>
      <c r="AT56" s="28">
        <f>PROGRAMADO!AT56/'Anexo '!$H$20</f>
        <v>0</v>
      </c>
      <c r="AU56" s="28">
        <f>PROGRAMADO!AU56/'Anexo '!$H$20</f>
        <v>0</v>
      </c>
      <c r="AV56" s="28">
        <f>PROGRAMADO!AV56/'Anexo '!$H$20</f>
        <v>0</v>
      </c>
      <c r="AW56" s="28">
        <f>PROGRAMADO!AW56/'Anexo '!$H$20</f>
        <v>0</v>
      </c>
      <c r="AX56" s="28">
        <f>PROGRAMADO!AX56/'Anexo '!$H$20</f>
        <v>0</v>
      </c>
      <c r="AY56" s="28">
        <f>PROGRAMADO!AY56/'Anexo '!$I$20</f>
        <v>0</v>
      </c>
      <c r="AZ56" s="28">
        <f>PROGRAMADO!AZ56/'Anexo '!$I$20</f>
        <v>2539991.3590470743</v>
      </c>
      <c r="BA56" s="28">
        <f>PROGRAMADO!BA56/'Anexo '!$I$20</f>
        <v>2539991.3590470743</v>
      </c>
      <c r="BB56" s="28">
        <f>PROGRAMADO!BB56/'Anexo '!$I$20</f>
        <v>0</v>
      </c>
      <c r="BC56" s="28">
        <f>PROGRAMADO!BC56/'Anexo '!$I$20</f>
        <v>0</v>
      </c>
      <c r="BD56" s="28">
        <f>PROGRAMADO!BD56/'Anexo '!$I$20</f>
        <v>0</v>
      </c>
      <c r="BE56" s="28">
        <f>PROGRAMADO!BE56/'Anexo '!$I$20</f>
        <v>2539991.3590470743</v>
      </c>
      <c r="BF56" s="28">
        <f>PROGRAMADO!BF56/'Anexo '!$J$20</f>
        <v>0</v>
      </c>
      <c r="BG56" s="28">
        <f>PROGRAMADO!BG56/'Anexo '!$J$20</f>
        <v>0</v>
      </c>
      <c r="BH56" s="28">
        <f>PROGRAMADO!BH56/'Anexo '!$J$20</f>
        <v>0</v>
      </c>
      <c r="BI56" s="28">
        <f>PROGRAMADO!BI56/'Anexo '!$J$20</f>
        <v>0</v>
      </c>
      <c r="BJ56" s="28">
        <f>PROGRAMADO!BJ56/'Anexo '!$J$20</f>
        <v>0</v>
      </c>
      <c r="BK56" s="28">
        <f>PROGRAMADO!BK56/'Anexo '!$J$20</f>
        <v>0</v>
      </c>
      <c r="BL56" s="28">
        <f>PROGRAMADO!BL56/'Anexo '!$J$20</f>
        <v>0</v>
      </c>
      <c r="BM56" s="28">
        <f>PROGRAMADO!BM56/'Anexo '!$K$20</f>
        <v>0</v>
      </c>
      <c r="BN56" s="28">
        <f>PROGRAMADO!BN56/'Anexo '!$K$20</f>
        <v>0</v>
      </c>
      <c r="BO56" s="28">
        <f>PROGRAMADO!BO56/'Anexo '!$K$20</f>
        <v>0</v>
      </c>
      <c r="BP56" s="28">
        <f>PROGRAMADO!BP56/'Anexo '!$K$20</f>
        <v>0</v>
      </c>
      <c r="BQ56" s="28">
        <f>PROGRAMADO!BQ56/'Anexo '!$K$20</f>
        <v>0</v>
      </c>
      <c r="BR56" s="28">
        <f>PROGRAMADO!BR56/'Anexo '!$K$20</f>
        <v>0</v>
      </c>
      <c r="BS56" s="28">
        <f>PROGRAMADO!BS56/'Anexo '!$K$20</f>
        <v>0</v>
      </c>
      <c r="BT56" s="28">
        <f>PROGRAMADO!BT56/'Anexo '!$L$20</f>
        <v>0</v>
      </c>
      <c r="BU56" s="28">
        <f>PROGRAMADO!BU56/'Anexo '!$L$20</f>
        <v>3575724.6837775386</v>
      </c>
      <c r="BV56" s="28">
        <f>PROGRAMADO!BV56/'Anexo '!$L$20</f>
        <v>810424.02040760475</v>
      </c>
      <c r="BW56" s="28">
        <f>PROGRAMADO!BW56/'Anexo '!$L$20</f>
        <v>4386148.7041851431</v>
      </c>
      <c r="BX56" s="28">
        <f>PROGRAMADO!BX56/'Anexo '!$L$20</f>
        <v>0</v>
      </c>
      <c r="BY56" s="28">
        <f>PROGRAMADO!BY56/'Anexo '!$L$20</f>
        <v>0</v>
      </c>
      <c r="BZ56" s="28">
        <f>PROGRAMADO!BZ56/'Anexo '!$L$20</f>
        <v>0</v>
      </c>
      <c r="CA56" s="28">
        <f>PROGRAMADO!CA56/'Anexo '!$L$20</f>
        <v>4386148.7041851431</v>
      </c>
      <c r="CB56" s="28">
        <f>PROGRAMADO!CB56/'Anexo '!$M$20</f>
        <v>0</v>
      </c>
      <c r="CC56" s="28">
        <f>PROGRAMADO!CC56/'Anexo '!$M$20</f>
        <v>2307686.8607696481</v>
      </c>
      <c r="CD56" s="28">
        <f>PROGRAMADO!CD56/'Anexo '!$M$20</f>
        <v>5965244.9697750574</v>
      </c>
      <c r="CE56" s="28">
        <f>PROGRAMADO!CE56/'Anexo '!$M$20</f>
        <v>8272931.8305447064</v>
      </c>
      <c r="CF56" s="28">
        <f>PROGRAMADO!CF56/'Anexo '!$M$20</f>
        <v>0</v>
      </c>
      <c r="CG56" s="28">
        <f>PROGRAMADO!CG56/'Anexo '!$M$20</f>
        <v>0</v>
      </c>
      <c r="CH56" s="28">
        <f>PROGRAMADO!CH56/'Anexo '!$M$20</f>
        <v>0</v>
      </c>
      <c r="CI56" s="29">
        <f>PROGRAMADO!CI56/'Anexo '!$M$20</f>
        <v>8272931.8305447064</v>
      </c>
    </row>
    <row r="57" spans="1:87" x14ac:dyDescent="0.25">
      <c r="A57" s="23" t="s">
        <v>95</v>
      </c>
      <c r="B57" s="28">
        <f>PROGRAMADO!B57/'Anexo '!$B$20</f>
        <v>0</v>
      </c>
      <c r="C57" s="28">
        <f>PROGRAMADO!C57/'Anexo '!$B$20</f>
        <v>0</v>
      </c>
      <c r="D57" s="28">
        <f>PROGRAMADO!D57/'Anexo '!$B$20</f>
        <v>0</v>
      </c>
      <c r="E57" s="28">
        <f>PROGRAMADO!E57/'Anexo '!$B$20</f>
        <v>0</v>
      </c>
      <c r="F57" s="28">
        <f>PROGRAMADO!F57/'Anexo '!$B$20</f>
        <v>0</v>
      </c>
      <c r="G57" s="28">
        <f>PROGRAMADO!G57/'Anexo '!$B$20</f>
        <v>0</v>
      </c>
      <c r="H57" s="28">
        <f>PROGRAMADO!H57/'Anexo '!$B$20</f>
        <v>0</v>
      </c>
      <c r="I57" s="28">
        <f>PROGRAMADO!I57/'Anexo '!$C$20</f>
        <v>0</v>
      </c>
      <c r="J57" s="28">
        <f>PROGRAMADO!J57/'Anexo '!$C$20</f>
        <v>0</v>
      </c>
      <c r="K57" s="28">
        <f>PROGRAMADO!K57/'Anexo '!$C$20</f>
        <v>0</v>
      </c>
      <c r="L57" s="28">
        <f>PROGRAMADO!L57/'Anexo '!$C$20</f>
        <v>0</v>
      </c>
      <c r="M57" s="28">
        <f>PROGRAMADO!M57/'Anexo '!$C$20</f>
        <v>0</v>
      </c>
      <c r="N57" s="28">
        <f>PROGRAMADO!N57/'Anexo '!$C$20</f>
        <v>0</v>
      </c>
      <c r="O57" s="28">
        <f>PROGRAMADO!O57/'Anexo '!$C$20</f>
        <v>0</v>
      </c>
      <c r="P57" s="28">
        <f>PROGRAMADO!P57/'Anexo '!$D$20</f>
        <v>0</v>
      </c>
      <c r="Q57" s="28">
        <f>PROGRAMADO!Q57/'Anexo '!$D$20</f>
        <v>0</v>
      </c>
      <c r="R57" s="28">
        <f>PROGRAMADO!R57/'Anexo '!$D$20</f>
        <v>0</v>
      </c>
      <c r="S57" s="28">
        <f>PROGRAMADO!S57/'Anexo '!$D$20</f>
        <v>0</v>
      </c>
      <c r="T57" s="28">
        <f>PROGRAMADO!T57/'Anexo '!$D$20</f>
        <v>0</v>
      </c>
      <c r="U57" s="28">
        <f>PROGRAMADO!U57/'Anexo '!$D$20</f>
        <v>0</v>
      </c>
      <c r="V57" s="28">
        <f>PROGRAMADO!V57/'Anexo '!$D$20</f>
        <v>0</v>
      </c>
      <c r="W57" s="28">
        <f>PROGRAMADO!W57/'Anexo '!$E$13</f>
        <v>0</v>
      </c>
      <c r="X57" s="28">
        <f>PROGRAMADO!X57/'Anexo '!$E$13</f>
        <v>3346046.4516921067</v>
      </c>
      <c r="Y57" s="28">
        <f>PROGRAMADO!Y57/'Anexo '!$E$13</f>
        <v>3346046.4516921067</v>
      </c>
      <c r="Z57" s="28">
        <f>PROGRAMADO!Z57/'Anexo '!$E$13</f>
        <v>0</v>
      </c>
      <c r="AA57" s="28">
        <f>PROGRAMADO!AA57/'Anexo '!$E$13</f>
        <v>7206106.9825490694</v>
      </c>
      <c r="AB57" s="28">
        <f>PROGRAMADO!AB57/'Anexo '!$E$13</f>
        <v>7206106.9825490694</v>
      </c>
      <c r="AC57" s="28">
        <f>PROGRAMADO!AC57/'Anexo '!$E$13</f>
        <v>10552153.434241176</v>
      </c>
      <c r="AD57" s="28">
        <f>PROGRAMADO!AD57/'Anexo '!$F$20</f>
        <v>0</v>
      </c>
      <c r="AE57" s="28">
        <f>PROGRAMADO!AE57/'Anexo '!$F$20</f>
        <v>3000000.0000000005</v>
      </c>
      <c r="AF57" s="28">
        <f>PROGRAMADO!AF57/'Anexo '!$F$20</f>
        <v>3000000.0000000005</v>
      </c>
      <c r="AG57" s="28">
        <f>PROGRAMADO!AG57/'Anexo '!$F$20</f>
        <v>1831585.0000000005</v>
      </c>
      <c r="AH57" s="28">
        <f>PROGRAMADO!AH57/'Anexo '!$F$20</f>
        <v>24627149.000000004</v>
      </c>
      <c r="AI57" s="28">
        <f>PROGRAMADO!AI57/'Anexo '!$F$20</f>
        <v>26458734.000000007</v>
      </c>
      <c r="AJ57" s="28">
        <f>PROGRAMADO!AJ57/'Anexo '!$F$20</f>
        <v>29458734.000000007</v>
      </c>
      <c r="AK57" s="28">
        <f>PROGRAMADO!AK57/'Anexo '!$G$20</f>
        <v>0</v>
      </c>
      <c r="AL57" s="28">
        <f>PROGRAMADO!AL57/'Anexo '!$G$20</f>
        <v>3533912.3390966794</v>
      </c>
      <c r="AM57" s="28">
        <f>PROGRAMADO!AM57/'Anexo '!$G$20</f>
        <v>3533912.3390966794</v>
      </c>
      <c r="AN57" s="28">
        <f>PROGRAMADO!AN57/'Anexo '!$G$20</f>
        <v>944416.60014627117</v>
      </c>
      <c r="AO57" s="28">
        <f>PROGRAMADO!AO57/'Anexo '!$G$20</f>
        <v>16603033.413474811</v>
      </c>
      <c r="AP57" s="28">
        <f>PROGRAMADO!AP57/'Anexo '!$G$20</f>
        <v>17547450.013621081</v>
      </c>
      <c r="AQ57" s="28">
        <f>PROGRAMADO!AQ57/'Anexo '!$G$20</f>
        <v>21081362.352717761</v>
      </c>
      <c r="AR57" s="28">
        <f>PROGRAMADO!AR57/'Anexo '!$H$20</f>
        <v>0</v>
      </c>
      <c r="AS57" s="28">
        <f>PROGRAMADO!AS57/'Anexo '!$H$20</f>
        <v>0</v>
      </c>
      <c r="AT57" s="28">
        <f>PROGRAMADO!AT57/'Anexo '!$H$20</f>
        <v>0</v>
      </c>
      <c r="AU57" s="28">
        <f>PROGRAMADO!AU57/'Anexo '!$H$20</f>
        <v>0</v>
      </c>
      <c r="AV57" s="28">
        <f>PROGRAMADO!AV57/'Anexo '!$H$20</f>
        <v>0</v>
      </c>
      <c r="AW57" s="28">
        <f>PROGRAMADO!AW57/'Anexo '!$H$20</f>
        <v>0</v>
      </c>
      <c r="AX57" s="28">
        <f>PROGRAMADO!AX57/'Anexo '!$H$20</f>
        <v>0</v>
      </c>
      <c r="AY57" s="28">
        <f>PROGRAMADO!AY57/'Anexo '!$I$20</f>
        <v>0</v>
      </c>
      <c r="AZ57" s="28">
        <f>PROGRAMADO!AZ57/'Anexo '!$I$20</f>
        <v>0</v>
      </c>
      <c r="BA57" s="28">
        <f>PROGRAMADO!BA57/'Anexo '!$I$20</f>
        <v>0</v>
      </c>
      <c r="BB57" s="28">
        <f>PROGRAMADO!BB57/'Anexo '!$I$20</f>
        <v>0</v>
      </c>
      <c r="BC57" s="28">
        <f>PROGRAMADO!BC57/'Anexo '!$I$20</f>
        <v>0</v>
      </c>
      <c r="BD57" s="28">
        <f>PROGRAMADO!BD57/'Anexo '!$I$20</f>
        <v>0</v>
      </c>
      <c r="BE57" s="28">
        <f>PROGRAMADO!BE57/'Anexo '!$I$20</f>
        <v>0</v>
      </c>
      <c r="BF57" s="28">
        <f>PROGRAMADO!BF57/'Anexo '!$J$20</f>
        <v>0</v>
      </c>
      <c r="BG57" s="28">
        <f>PROGRAMADO!BG57/'Anexo '!$J$20</f>
        <v>0</v>
      </c>
      <c r="BH57" s="28">
        <f>PROGRAMADO!BH57/'Anexo '!$J$20</f>
        <v>0</v>
      </c>
      <c r="BI57" s="28">
        <f>PROGRAMADO!BI57/'Anexo '!$J$20</f>
        <v>0</v>
      </c>
      <c r="BJ57" s="28">
        <f>PROGRAMADO!BJ57/'Anexo '!$J$20</f>
        <v>0</v>
      </c>
      <c r="BK57" s="28">
        <f>PROGRAMADO!BK57/'Anexo '!$J$20</f>
        <v>0</v>
      </c>
      <c r="BL57" s="28">
        <f>PROGRAMADO!BL57/'Anexo '!$J$20</f>
        <v>0</v>
      </c>
      <c r="BM57" s="28">
        <f>PROGRAMADO!BM57/'Anexo '!$K$20</f>
        <v>0</v>
      </c>
      <c r="BN57" s="28">
        <f>PROGRAMADO!BN57/'Anexo '!$K$20</f>
        <v>0</v>
      </c>
      <c r="BO57" s="28">
        <f>PROGRAMADO!BO57/'Anexo '!$K$20</f>
        <v>0</v>
      </c>
      <c r="BP57" s="28">
        <f>PROGRAMADO!BP57/'Anexo '!$K$20</f>
        <v>0</v>
      </c>
      <c r="BQ57" s="28">
        <f>PROGRAMADO!BQ57/'Anexo '!$K$20</f>
        <v>0</v>
      </c>
      <c r="BR57" s="28">
        <f>PROGRAMADO!BR57/'Anexo '!$K$20</f>
        <v>0</v>
      </c>
      <c r="BS57" s="28">
        <f>PROGRAMADO!BS57/'Anexo '!$K$20</f>
        <v>0</v>
      </c>
      <c r="BT57" s="28">
        <f>PROGRAMADO!BT57/'Anexo '!$L$20</f>
        <v>0</v>
      </c>
      <c r="BU57" s="28">
        <f>PROGRAMADO!BU57/'Anexo '!$L$20</f>
        <v>0</v>
      </c>
      <c r="BV57" s="28">
        <f>PROGRAMADO!BV57/'Anexo '!$L$20</f>
        <v>0</v>
      </c>
      <c r="BW57" s="28">
        <f>PROGRAMADO!BW57/'Anexo '!$L$20</f>
        <v>0</v>
      </c>
      <c r="BX57" s="28">
        <f>PROGRAMADO!BX57/'Anexo '!$L$20</f>
        <v>0</v>
      </c>
      <c r="BY57" s="28">
        <f>PROGRAMADO!BY57/'Anexo '!$L$20</f>
        <v>0</v>
      </c>
      <c r="BZ57" s="28">
        <f>PROGRAMADO!BZ57/'Anexo '!$L$20</f>
        <v>0</v>
      </c>
      <c r="CA57" s="28">
        <f>PROGRAMADO!CA57/'Anexo '!$L$20</f>
        <v>0</v>
      </c>
      <c r="CB57" s="28">
        <f>PROGRAMADO!CB57/'Anexo '!$M$20</f>
        <v>0</v>
      </c>
      <c r="CC57" s="28">
        <f>PROGRAMADO!CC57/'Anexo '!$M$20</f>
        <v>0</v>
      </c>
      <c r="CD57" s="28">
        <f>PROGRAMADO!CD57/'Anexo '!$M$20</f>
        <v>0</v>
      </c>
      <c r="CE57" s="28">
        <f>PROGRAMADO!CE57/'Anexo '!$M$20</f>
        <v>0</v>
      </c>
      <c r="CF57" s="28">
        <f>PROGRAMADO!CF57/'Anexo '!$M$20</f>
        <v>0</v>
      </c>
      <c r="CG57" s="28">
        <f>PROGRAMADO!CG57/'Anexo '!$M$20</f>
        <v>0</v>
      </c>
      <c r="CH57" s="28">
        <f>PROGRAMADO!CH57/'Anexo '!$M$20</f>
        <v>0</v>
      </c>
      <c r="CI57" s="29">
        <f>PROGRAMADO!CI57/'Anexo '!$M$20</f>
        <v>0</v>
      </c>
    </row>
    <row r="58" spans="1:87" x14ac:dyDescent="0.25">
      <c r="A58" s="23" t="s">
        <v>96</v>
      </c>
      <c r="B58" s="28">
        <f>PROGRAMADO!B58/'Anexo '!$B$20</f>
        <v>0</v>
      </c>
      <c r="C58" s="28">
        <f>PROGRAMADO!C58/'Anexo '!$B$20</f>
        <v>0</v>
      </c>
      <c r="D58" s="28">
        <f>PROGRAMADO!D58/'Anexo '!$B$20</f>
        <v>0</v>
      </c>
      <c r="E58" s="28">
        <f>PROGRAMADO!E58/'Anexo '!$B$20</f>
        <v>0</v>
      </c>
      <c r="F58" s="28">
        <f>PROGRAMADO!F58/'Anexo '!$B$20</f>
        <v>0</v>
      </c>
      <c r="G58" s="28">
        <f>PROGRAMADO!G58/'Anexo '!$B$20</f>
        <v>0</v>
      </c>
      <c r="H58" s="28">
        <f>PROGRAMADO!H58/'Anexo '!$B$20</f>
        <v>0</v>
      </c>
      <c r="I58" s="28">
        <f>PROGRAMADO!I58/'Anexo '!$C$20</f>
        <v>0</v>
      </c>
      <c r="J58" s="28">
        <f>PROGRAMADO!J58/'Anexo '!$C$20</f>
        <v>0</v>
      </c>
      <c r="K58" s="28">
        <f>PROGRAMADO!K58/'Anexo '!$C$20</f>
        <v>0</v>
      </c>
      <c r="L58" s="28">
        <f>PROGRAMADO!L58/'Anexo '!$C$20</f>
        <v>0</v>
      </c>
      <c r="M58" s="28">
        <f>PROGRAMADO!M58/'Anexo '!$C$20</f>
        <v>0</v>
      </c>
      <c r="N58" s="28">
        <f>PROGRAMADO!N58/'Anexo '!$C$20</f>
        <v>0</v>
      </c>
      <c r="O58" s="28">
        <f>PROGRAMADO!O58/'Anexo '!$C$20</f>
        <v>0</v>
      </c>
      <c r="P58" s="28">
        <f>PROGRAMADO!P58/'Anexo '!$D$20</f>
        <v>0</v>
      </c>
      <c r="Q58" s="28">
        <f>PROGRAMADO!Q58/'Anexo '!$D$20</f>
        <v>0</v>
      </c>
      <c r="R58" s="28">
        <f>PROGRAMADO!R58/'Anexo '!$D$20</f>
        <v>0</v>
      </c>
      <c r="S58" s="28">
        <f>PROGRAMADO!S58/'Anexo '!$D$20</f>
        <v>0</v>
      </c>
      <c r="T58" s="28">
        <f>PROGRAMADO!T58/'Anexo '!$D$20</f>
        <v>0</v>
      </c>
      <c r="U58" s="28">
        <f>PROGRAMADO!U58/'Anexo '!$D$20</f>
        <v>0</v>
      </c>
      <c r="V58" s="28">
        <f>PROGRAMADO!V58/'Anexo '!$D$20</f>
        <v>0</v>
      </c>
      <c r="W58" s="28">
        <f>PROGRAMADO!W58/'Anexo '!$E$13</f>
        <v>0</v>
      </c>
      <c r="X58" s="28">
        <f>PROGRAMADO!X58/'Anexo '!$E$13</f>
        <v>1449953.462399913</v>
      </c>
      <c r="Y58" s="28">
        <f>PROGRAMADO!Y58/'Anexo '!$E$13</f>
        <v>1449953.462399913</v>
      </c>
      <c r="Z58" s="28">
        <f>PROGRAMADO!Z58/'Anexo '!$E$13</f>
        <v>0</v>
      </c>
      <c r="AA58" s="28">
        <f>PROGRAMADO!AA58/'Anexo '!$E$13</f>
        <v>11940868.669831038</v>
      </c>
      <c r="AB58" s="28">
        <f>PROGRAMADO!AB58/'Anexo '!$E$13</f>
        <v>11940868.669831038</v>
      </c>
      <c r="AC58" s="28">
        <f>PROGRAMADO!AC58/'Anexo '!$E$13</f>
        <v>13390822.132230951</v>
      </c>
      <c r="AD58" s="28">
        <f>PROGRAMADO!AD58/'Anexo '!$F$20</f>
        <v>0</v>
      </c>
      <c r="AE58" s="28">
        <f>PROGRAMADO!AE58/'Anexo '!$F$20</f>
        <v>0</v>
      </c>
      <c r="AF58" s="28">
        <f>PROGRAMADO!AF58/'Anexo '!$F$20</f>
        <v>0</v>
      </c>
      <c r="AG58" s="28">
        <f>PROGRAMADO!AG58/'Anexo '!$F$20</f>
        <v>0</v>
      </c>
      <c r="AH58" s="28">
        <f>PROGRAMADO!AH58/'Anexo '!$F$20</f>
        <v>0</v>
      </c>
      <c r="AI58" s="28">
        <f>PROGRAMADO!AI58/'Anexo '!$F$20</f>
        <v>0</v>
      </c>
      <c r="AJ58" s="28">
        <f>PROGRAMADO!AJ58/'Anexo '!$F$20</f>
        <v>0</v>
      </c>
      <c r="AK58" s="28">
        <f>PROGRAMADO!AK58/'Anexo '!$G$20</f>
        <v>0</v>
      </c>
      <c r="AL58" s="28">
        <f>PROGRAMADO!AL58/'Anexo '!$G$20</f>
        <v>0</v>
      </c>
      <c r="AM58" s="28">
        <f>PROGRAMADO!AM58/'Anexo '!$G$20</f>
        <v>0</v>
      </c>
      <c r="AN58" s="28">
        <f>PROGRAMADO!AN58/'Anexo '!$G$20</f>
        <v>0</v>
      </c>
      <c r="AO58" s="28">
        <f>PROGRAMADO!AO58/'Anexo '!$G$20</f>
        <v>0</v>
      </c>
      <c r="AP58" s="28">
        <f>PROGRAMADO!AP58/'Anexo '!$G$20</f>
        <v>0</v>
      </c>
      <c r="AQ58" s="28">
        <f>PROGRAMADO!AQ58/'Anexo '!$G$20</f>
        <v>0</v>
      </c>
      <c r="AR58" s="28">
        <f>PROGRAMADO!AR58/'Anexo '!$H$20</f>
        <v>0</v>
      </c>
      <c r="AS58" s="28">
        <f>PROGRAMADO!AS58/'Anexo '!$H$20</f>
        <v>0</v>
      </c>
      <c r="AT58" s="28">
        <f>PROGRAMADO!AT58/'Anexo '!$H$20</f>
        <v>0</v>
      </c>
      <c r="AU58" s="28">
        <f>PROGRAMADO!AU58/'Anexo '!$H$20</f>
        <v>0</v>
      </c>
      <c r="AV58" s="28">
        <f>PROGRAMADO!AV58/'Anexo '!$H$20</f>
        <v>0</v>
      </c>
      <c r="AW58" s="28">
        <f>PROGRAMADO!AW58/'Anexo '!$H$20</f>
        <v>0</v>
      </c>
      <c r="AX58" s="28">
        <f>PROGRAMADO!AX58/'Anexo '!$H$20</f>
        <v>0</v>
      </c>
      <c r="AY58" s="28">
        <f>PROGRAMADO!AY58/'Anexo '!$I$20</f>
        <v>0</v>
      </c>
      <c r="AZ58" s="28">
        <f>PROGRAMADO!AZ58/'Anexo '!$I$20</f>
        <v>0</v>
      </c>
      <c r="BA58" s="28">
        <f>PROGRAMADO!BA58/'Anexo '!$I$20</f>
        <v>0</v>
      </c>
      <c r="BB58" s="28">
        <f>PROGRAMADO!BB58/'Anexo '!$I$20</f>
        <v>0</v>
      </c>
      <c r="BC58" s="28">
        <f>PROGRAMADO!BC58/'Anexo '!$I$20</f>
        <v>0</v>
      </c>
      <c r="BD58" s="28">
        <f>PROGRAMADO!BD58/'Anexo '!$I$20</f>
        <v>0</v>
      </c>
      <c r="BE58" s="28">
        <f>PROGRAMADO!BE58/'Anexo '!$I$20</f>
        <v>0</v>
      </c>
      <c r="BF58" s="28">
        <f>PROGRAMADO!BF58/'Anexo '!$J$20</f>
        <v>0</v>
      </c>
      <c r="BG58" s="28">
        <f>PROGRAMADO!BG58/'Anexo '!$J$20</f>
        <v>0</v>
      </c>
      <c r="BH58" s="28">
        <f>PROGRAMADO!BH58/'Anexo '!$J$20</f>
        <v>0</v>
      </c>
      <c r="BI58" s="28">
        <f>PROGRAMADO!BI58/'Anexo '!$J$20</f>
        <v>0</v>
      </c>
      <c r="BJ58" s="28">
        <f>PROGRAMADO!BJ58/'Anexo '!$J$20</f>
        <v>0</v>
      </c>
      <c r="BK58" s="28">
        <f>PROGRAMADO!BK58/'Anexo '!$J$20</f>
        <v>0</v>
      </c>
      <c r="BL58" s="28">
        <f>PROGRAMADO!BL58/'Anexo '!$J$20</f>
        <v>0</v>
      </c>
      <c r="BM58" s="28">
        <f>PROGRAMADO!BM58/'Anexo '!$K$20</f>
        <v>0</v>
      </c>
      <c r="BN58" s="28">
        <f>PROGRAMADO!BN58/'Anexo '!$K$20</f>
        <v>0</v>
      </c>
      <c r="BO58" s="28">
        <f>PROGRAMADO!BO58/'Anexo '!$K$20</f>
        <v>0</v>
      </c>
      <c r="BP58" s="28">
        <f>PROGRAMADO!BP58/'Anexo '!$K$20</f>
        <v>0</v>
      </c>
      <c r="BQ58" s="28">
        <f>PROGRAMADO!BQ58/'Anexo '!$K$20</f>
        <v>0</v>
      </c>
      <c r="BR58" s="28">
        <f>PROGRAMADO!BR58/'Anexo '!$K$20</f>
        <v>0</v>
      </c>
      <c r="BS58" s="28">
        <f>PROGRAMADO!BS58/'Anexo '!$K$20</f>
        <v>0</v>
      </c>
      <c r="BT58" s="28">
        <f>PROGRAMADO!BT58/'Anexo '!$L$20</f>
        <v>0</v>
      </c>
      <c r="BU58" s="28">
        <f>PROGRAMADO!BU58/'Anexo '!$L$20</f>
        <v>0</v>
      </c>
      <c r="BV58" s="28">
        <f>PROGRAMADO!BV58/'Anexo '!$L$20</f>
        <v>0</v>
      </c>
      <c r="BW58" s="28">
        <f>PROGRAMADO!BW58/'Anexo '!$L$20</f>
        <v>0</v>
      </c>
      <c r="BX58" s="28">
        <f>PROGRAMADO!BX58/'Anexo '!$L$20</f>
        <v>0</v>
      </c>
      <c r="BY58" s="28">
        <f>PROGRAMADO!BY58/'Anexo '!$L$20</f>
        <v>0</v>
      </c>
      <c r="BZ58" s="28">
        <f>PROGRAMADO!BZ58/'Anexo '!$L$20</f>
        <v>0</v>
      </c>
      <c r="CA58" s="28">
        <f>PROGRAMADO!CA58/'Anexo '!$L$20</f>
        <v>0</v>
      </c>
      <c r="CB58" s="28">
        <f>PROGRAMADO!CB58/'Anexo '!$M$20</f>
        <v>0</v>
      </c>
      <c r="CC58" s="28">
        <f>PROGRAMADO!CC58/'Anexo '!$M$20</f>
        <v>0</v>
      </c>
      <c r="CD58" s="28">
        <f>PROGRAMADO!CD58/'Anexo '!$M$20</f>
        <v>0</v>
      </c>
      <c r="CE58" s="28">
        <f>PROGRAMADO!CE58/'Anexo '!$M$20</f>
        <v>0</v>
      </c>
      <c r="CF58" s="28">
        <f>PROGRAMADO!CF58/'Anexo '!$M$20</f>
        <v>0</v>
      </c>
      <c r="CG58" s="28">
        <f>PROGRAMADO!CG58/'Anexo '!$M$20</f>
        <v>0</v>
      </c>
      <c r="CH58" s="28">
        <f>PROGRAMADO!CH58/'Anexo '!$M$20</f>
        <v>0</v>
      </c>
      <c r="CI58" s="29">
        <f>PROGRAMADO!CI58/'Anexo '!$M$20</f>
        <v>0</v>
      </c>
    </row>
    <row r="59" spans="1:87" x14ac:dyDescent="0.25">
      <c r="A59" s="23" t="s">
        <v>97</v>
      </c>
      <c r="B59" s="28">
        <f>PROGRAMADO!B59/'Anexo '!$B$20</f>
        <v>0</v>
      </c>
      <c r="C59" s="28">
        <f>PROGRAMADO!C59/'Anexo '!$B$20</f>
        <v>0</v>
      </c>
      <c r="D59" s="28">
        <f>PROGRAMADO!D59/'Anexo '!$B$20</f>
        <v>0</v>
      </c>
      <c r="E59" s="28">
        <f>PROGRAMADO!E59/'Anexo '!$B$20</f>
        <v>0</v>
      </c>
      <c r="F59" s="28">
        <f>PROGRAMADO!F59/'Anexo '!$B$20</f>
        <v>0</v>
      </c>
      <c r="G59" s="28">
        <f>PROGRAMADO!G59/'Anexo '!$B$20</f>
        <v>0</v>
      </c>
      <c r="H59" s="28">
        <f>PROGRAMADO!H59/'Anexo '!$B$20</f>
        <v>0</v>
      </c>
      <c r="I59" s="28">
        <f>PROGRAMADO!I59/'Anexo '!$C$20</f>
        <v>0</v>
      </c>
      <c r="J59" s="28">
        <f>PROGRAMADO!J59/'Anexo '!$C$20</f>
        <v>0</v>
      </c>
      <c r="K59" s="28">
        <f>PROGRAMADO!K59/'Anexo '!$C$20</f>
        <v>0</v>
      </c>
      <c r="L59" s="28">
        <f>PROGRAMADO!L59/'Anexo '!$C$20</f>
        <v>0</v>
      </c>
      <c r="M59" s="28">
        <f>PROGRAMADO!M59/'Anexo '!$C$20</f>
        <v>0</v>
      </c>
      <c r="N59" s="28">
        <f>PROGRAMADO!N59/'Anexo '!$C$20</f>
        <v>0</v>
      </c>
      <c r="O59" s="28">
        <f>PROGRAMADO!O59/'Anexo '!$C$20</f>
        <v>0</v>
      </c>
      <c r="P59" s="28">
        <f>PROGRAMADO!P59/'Anexo '!$D$20</f>
        <v>0</v>
      </c>
      <c r="Q59" s="28">
        <f>PROGRAMADO!Q59/'Anexo '!$D$20</f>
        <v>0</v>
      </c>
      <c r="R59" s="28">
        <f>PROGRAMADO!R59/'Anexo '!$D$20</f>
        <v>0</v>
      </c>
      <c r="S59" s="28">
        <f>PROGRAMADO!S59/'Anexo '!$D$20</f>
        <v>0</v>
      </c>
      <c r="T59" s="28">
        <f>PROGRAMADO!T59/'Anexo '!$D$20</f>
        <v>0</v>
      </c>
      <c r="U59" s="28">
        <f>PROGRAMADO!U59/'Anexo '!$D$20</f>
        <v>0</v>
      </c>
      <c r="V59" s="28">
        <f>PROGRAMADO!V59/'Anexo '!$D$20</f>
        <v>0</v>
      </c>
      <c r="W59" s="28">
        <f>PROGRAMADO!W59/'Anexo '!$E$13</f>
        <v>0</v>
      </c>
      <c r="X59" s="28">
        <f>PROGRAMADO!X59/'Anexo '!$E$13</f>
        <v>9313162.6238763649</v>
      </c>
      <c r="Y59" s="28">
        <f>PROGRAMADO!Y59/'Anexo '!$E$13</f>
        <v>9313162.6238763649</v>
      </c>
      <c r="Z59" s="28">
        <f>PROGRAMADO!Z59/'Anexo '!$E$13</f>
        <v>0</v>
      </c>
      <c r="AA59" s="28">
        <f>PROGRAMADO!AA59/'Anexo '!$E$13</f>
        <v>0</v>
      </c>
      <c r="AB59" s="28">
        <f>PROGRAMADO!AB59/'Anexo '!$E$13</f>
        <v>0</v>
      </c>
      <c r="AC59" s="28">
        <f>PROGRAMADO!AC59/'Anexo '!$E$13</f>
        <v>9313162.6238763649</v>
      </c>
      <c r="AD59" s="28">
        <f>PROGRAMADO!AD59/'Anexo '!$F$20</f>
        <v>0</v>
      </c>
      <c r="AE59" s="28">
        <f>PROGRAMADO!AE59/'Anexo '!$F$20</f>
        <v>0</v>
      </c>
      <c r="AF59" s="28">
        <f>PROGRAMADO!AF59/'Anexo '!$F$20</f>
        <v>0</v>
      </c>
      <c r="AG59" s="28">
        <f>PROGRAMADO!AG59/'Anexo '!$F$20</f>
        <v>0</v>
      </c>
      <c r="AH59" s="28">
        <f>PROGRAMADO!AH59/'Anexo '!$F$20</f>
        <v>0</v>
      </c>
      <c r="AI59" s="28">
        <f>PROGRAMADO!AI59/'Anexo '!$F$20</f>
        <v>0</v>
      </c>
      <c r="AJ59" s="28">
        <f>PROGRAMADO!AJ59/'Anexo '!$F$20</f>
        <v>0</v>
      </c>
      <c r="AK59" s="28">
        <f>PROGRAMADO!AK59/'Anexo '!$G$20</f>
        <v>0</v>
      </c>
      <c r="AL59" s="28">
        <f>PROGRAMADO!AL59/'Anexo '!$G$20</f>
        <v>0</v>
      </c>
      <c r="AM59" s="28">
        <f>PROGRAMADO!AM59/'Anexo '!$G$20</f>
        <v>0</v>
      </c>
      <c r="AN59" s="28">
        <f>PROGRAMADO!AN59/'Anexo '!$G$20</f>
        <v>0</v>
      </c>
      <c r="AO59" s="28">
        <f>PROGRAMADO!AO59/'Anexo '!$G$20</f>
        <v>0</v>
      </c>
      <c r="AP59" s="28">
        <f>PROGRAMADO!AP59/'Anexo '!$G$20</f>
        <v>0</v>
      </c>
      <c r="AQ59" s="28">
        <f>PROGRAMADO!AQ59/'Anexo '!$G$20</f>
        <v>0</v>
      </c>
      <c r="AR59" s="28">
        <f>PROGRAMADO!AR59/'Anexo '!$H$20</f>
        <v>0</v>
      </c>
      <c r="AS59" s="28">
        <f>PROGRAMADO!AS59/'Anexo '!$H$20</f>
        <v>0</v>
      </c>
      <c r="AT59" s="28">
        <f>PROGRAMADO!AT59/'Anexo '!$H$20</f>
        <v>0</v>
      </c>
      <c r="AU59" s="28">
        <f>PROGRAMADO!AU59/'Anexo '!$H$20</f>
        <v>0</v>
      </c>
      <c r="AV59" s="28">
        <f>PROGRAMADO!AV59/'Anexo '!$H$20</f>
        <v>0</v>
      </c>
      <c r="AW59" s="28">
        <f>PROGRAMADO!AW59/'Anexo '!$H$20</f>
        <v>0</v>
      </c>
      <c r="AX59" s="28">
        <f>PROGRAMADO!AX59/'Anexo '!$H$20</f>
        <v>0</v>
      </c>
      <c r="AY59" s="28">
        <f>PROGRAMADO!AY59/'Anexo '!$I$20</f>
        <v>0</v>
      </c>
      <c r="AZ59" s="28">
        <f>PROGRAMADO!AZ59/'Anexo '!$I$20</f>
        <v>0</v>
      </c>
      <c r="BA59" s="28">
        <f>PROGRAMADO!BA59/'Anexo '!$I$20</f>
        <v>0</v>
      </c>
      <c r="BB59" s="28">
        <f>PROGRAMADO!BB59/'Anexo '!$I$20</f>
        <v>0</v>
      </c>
      <c r="BC59" s="28">
        <f>PROGRAMADO!BC59/'Anexo '!$I$20</f>
        <v>0</v>
      </c>
      <c r="BD59" s="28">
        <f>PROGRAMADO!BD59/'Anexo '!$I$20</f>
        <v>0</v>
      </c>
      <c r="BE59" s="28">
        <f>PROGRAMADO!BE59/'Anexo '!$I$20</f>
        <v>0</v>
      </c>
      <c r="BF59" s="28">
        <f>PROGRAMADO!BF59/'Anexo '!$J$20</f>
        <v>0</v>
      </c>
      <c r="BG59" s="28">
        <f>PROGRAMADO!BG59/'Anexo '!$J$20</f>
        <v>0</v>
      </c>
      <c r="BH59" s="28">
        <f>PROGRAMADO!BH59/'Anexo '!$J$20</f>
        <v>0</v>
      </c>
      <c r="BI59" s="28">
        <f>PROGRAMADO!BI59/'Anexo '!$J$20</f>
        <v>0</v>
      </c>
      <c r="BJ59" s="28">
        <f>PROGRAMADO!BJ59/'Anexo '!$J$20</f>
        <v>0</v>
      </c>
      <c r="BK59" s="28">
        <f>PROGRAMADO!BK59/'Anexo '!$J$20</f>
        <v>0</v>
      </c>
      <c r="BL59" s="28">
        <f>PROGRAMADO!BL59/'Anexo '!$J$20</f>
        <v>0</v>
      </c>
      <c r="BM59" s="28">
        <f>PROGRAMADO!BM59/'Anexo '!$K$20</f>
        <v>0</v>
      </c>
      <c r="BN59" s="28">
        <f>PROGRAMADO!BN59/'Anexo '!$K$20</f>
        <v>0</v>
      </c>
      <c r="BO59" s="28">
        <f>PROGRAMADO!BO59/'Anexo '!$K$20</f>
        <v>0</v>
      </c>
      <c r="BP59" s="28">
        <f>PROGRAMADO!BP59/'Anexo '!$K$20</f>
        <v>0</v>
      </c>
      <c r="BQ59" s="28">
        <f>PROGRAMADO!BQ59/'Anexo '!$K$20</f>
        <v>0</v>
      </c>
      <c r="BR59" s="28">
        <f>PROGRAMADO!BR59/'Anexo '!$K$20</f>
        <v>0</v>
      </c>
      <c r="BS59" s="28">
        <f>PROGRAMADO!BS59/'Anexo '!$K$20</f>
        <v>0</v>
      </c>
      <c r="BT59" s="28">
        <f>PROGRAMADO!BT59/'Anexo '!$L$20</f>
        <v>0</v>
      </c>
      <c r="BU59" s="28">
        <f>PROGRAMADO!BU59/'Anexo '!$L$20</f>
        <v>0</v>
      </c>
      <c r="BV59" s="28">
        <f>PROGRAMADO!BV59/'Anexo '!$L$20</f>
        <v>0</v>
      </c>
      <c r="BW59" s="28">
        <f>PROGRAMADO!BW59/'Anexo '!$L$20</f>
        <v>0</v>
      </c>
      <c r="BX59" s="28">
        <f>PROGRAMADO!BX59/'Anexo '!$L$20</f>
        <v>0</v>
      </c>
      <c r="BY59" s="28">
        <f>PROGRAMADO!BY59/'Anexo '!$L$20</f>
        <v>0</v>
      </c>
      <c r="BZ59" s="28">
        <f>PROGRAMADO!BZ59/'Anexo '!$L$20</f>
        <v>0</v>
      </c>
      <c r="CA59" s="28">
        <f>PROGRAMADO!CA59/'Anexo '!$L$20</f>
        <v>0</v>
      </c>
      <c r="CB59" s="28">
        <f>PROGRAMADO!CB59/'Anexo '!$M$20</f>
        <v>0</v>
      </c>
      <c r="CC59" s="28">
        <f>PROGRAMADO!CC59/'Anexo '!$M$20</f>
        <v>0</v>
      </c>
      <c r="CD59" s="28">
        <f>PROGRAMADO!CD59/'Anexo '!$M$20</f>
        <v>0</v>
      </c>
      <c r="CE59" s="28">
        <f>PROGRAMADO!CE59/'Anexo '!$M$20</f>
        <v>0</v>
      </c>
      <c r="CF59" s="28">
        <f>PROGRAMADO!CF59/'Anexo '!$M$20</f>
        <v>0</v>
      </c>
      <c r="CG59" s="28">
        <f>PROGRAMADO!CG59/'Anexo '!$M$20</f>
        <v>0</v>
      </c>
      <c r="CH59" s="28">
        <f>PROGRAMADO!CH59/'Anexo '!$M$20</f>
        <v>0</v>
      </c>
      <c r="CI59" s="29">
        <f>PROGRAMADO!CI59/'Anexo '!$M$20</f>
        <v>0</v>
      </c>
    </row>
    <row r="60" spans="1:87" x14ac:dyDescent="0.25">
      <c r="A60" s="23" t="s">
        <v>43</v>
      </c>
      <c r="B60" s="28">
        <f>PROGRAMADO!B60/'Anexo '!$B$20</f>
        <v>0</v>
      </c>
      <c r="C60" s="28">
        <f>PROGRAMADO!C60/'Anexo '!$B$20</f>
        <v>0</v>
      </c>
      <c r="D60" s="28">
        <f>PROGRAMADO!D60/'Anexo '!$B$20</f>
        <v>0</v>
      </c>
      <c r="E60" s="28">
        <f>PROGRAMADO!E60/'Anexo '!$B$20</f>
        <v>0</v>
      </c>
      <c r="F60" s="28">
        <f>PROGRAMADO!F60/'Anexo '!$B$20</f>
        <v>0</v>
      </c>
      <c r="G60" s="28">
        <f>PROGRAMADO!G60/'Anexo '!$B$20</f>
        <v>0</v>
      </c>
      <c r="H60" s="28">
        <f>PROGRAMADO!H60/'Anexo '!$B$20</f>
        <v>0</v>
      </c>
      <c r="I60" s="28">
        <f>PROGRAMADO!I60/'Anexo '!$C$20</f>
        <v>0</v>
      </c>
      <c r="J60" s="28">
        <f>PROGRAMADO!J60/'Anexo '!$C$20</f>
        <v>0</v>
      </c>
      <c r="K60" s="28">
        <f>PROGRAMADO!K60/'Anexo '!$C$20</f>
        <v>0</v>
      </c>
      <c r="L60" s="28">
        <f>PROGRAMADO!L60/'Anexo '!$C$20</f>
        <v>0</v>
      </c>
      <c r="M60" s="28">
        <f>PROGRAMADO!M60/'Anexo '!$C$20</f>
        <v>0</v>
      </c>
      <c r="N60" s="28">
        <f>PROGRAMADO!N60/'Anexo '!$C$20</f>
        <v>0</v>
      </c>
      <c r="O60" s="28">
        <f>PROGRAMADO!O60/'Anexo '!$C$20</f>
        <v>0</v>
      </c>
      <c r="P60" s="28">
        <f>PROGRAMADO!P60/'Anexo '!$D$20</f>
        <v>0</v>
      </c>
      <c r="Q60" s="28">
        <f>PROGRAMADO!Q60/'Anexo '!$D$20</f>
        <v>0</v>
      </c>
      <c r="R60" s="28">
        <f>PROGRAMADO!R60/'Anexo '!$D$20</f>
        <v>0</v>
      </c>
      <c r="S60" s="28">
        <f>PROGRAMADO!S60/'Anexo '!$D$20</f>
        <v>0</v>
      </c>
      <c r="T60" s="28">
        <f>PROGRAMADO!T60/'Anexo '!$D$20</f>
        <v>0</v>
      </c>
      <c r="U60" s="28">
        <f>PROGRAMADO!U60/'Anexo '!$D$20</f>
        <v>0</v>
      </c>
      <c r="V60" s="28">
        <f>PROGRAMADO!V60/'Anexo '!$D$20</f>
        <v>0</v>
      </c>
      <c r="W60" s="28">
        <f>PROGRAMADO!W60/'Anexo '!$E$13</f>
        <v>0</v>
      </c>
      <c r="X60" s="28">
        <f>PROGRAMADO!X60/'Anexo '!$E$13</f>
        <v>4214468.1942761037</v>
      </c>
      <c r="Y60" s="28">
        <f>PROGRAMADO!Y60/'Anexo '!$E$13</f>
        <v>4214468.1942761037</v>
      </c>
      <c r="Z60" s="28">
        <f>PROGRAMADO!Z60/'Anexo '!$E$13</f>
        <v>0</v>
      </c>
      <c r="AA60" s="28">
        <f>PROGRAMADO!AA60/'Anexo '!$E$13</f>
        <v>32514031.932013504</v>
      </c>
      <c r="AB60" s="28">
        <f>PROGRAMADO!AB60/'Anexo '!$E$13</f>
        <v>32514031.932013504</v>
      </c>
      <c r="AC60" s="28">
        <f>PROGRAMADO!AC60/'Anexo '!$E$13</f>
        <v>36728500.126289606</v>
      </c>
      <c r="AD60" s="28">
        <f>PROGRAMADO!AD60/'Anexo '!$F$20</f>
        <v>0</v>
      </c>
      <c r="AE60" s="28">
        <f>PROGRAMADO!AE60/'Anexo '!$F$20</f>
        <v>1934381.0000000005</v>
      </c>
      <c r="AF60" s="28">
        <f>PROGRAMADO!AF60/'Anexo '!$F$20</f>
        <v>1934381.0000000005</v>
      </c>
      <c r="AG60" s="28">
        <f>PROGRAMADO!AG60/'Anexo '!$F$20</f>
        <v>0</v>
      </c>
      <c r="AH60" s="28">
        <f>PROGRAMADO!AH60/'Anexo '!$F$20</f>
        <v>12071500.000000002</v>
      </c>
      <c r="AI60" s="28">
        <f>PROGRAMADO!AI60/'Anexo '!$F$20</f>
        <v>12071500.000000002</v>
      </c>
      <c r="AJ60" s="28">
        <f>PROGRAMADO!AJ60/'Anexo '!$F$20</f>
        <v>14005881.000000004</v>
      </c>
      <c r="AK60" s="28">
        <f>PROGRAMADO!AK60/'Anexo '!$G$20</f>
        <v>0</v>
      </c>
      <c r="AL60" s="28">
        <f>PROGRAMADO!AL60/'Anexo '!$G$20</f>
        <v>1989875.6817600923</v>
      </c>
      <c r="AM60" s="28">
        <f>PROGRAMADO!AM60/'Anexo '!$G$20</f>
        <v>1989875.6817600923</v>
      </c>
      <c r="AN60" s="28">
        <f>PROGRAMADO!AN60/'Anexo '!$G$20</f>
        <v>0</v>
      </c>
      <c r="AO60" s="28">
        <f>PROGRAMADO!AO60/'Anexo '!$G$20</f>
        <v>10509017.525481544</v>
      </c>
      <c r="AP60" s="28">
        <f>PROGRAMADO!AP60/'Anexo '!$G$20</f>
        <v>10509017.525481544</v>
      </c>
      <c r="AQ60" s="28">
        <f>PROGRAMADO!AQ60/'Anexo '!$G$20</f>
        <v>12498893.207241638</v>
      </c>
      <c r="AR60" s="28">
        <f>PROGRAMADO!AR60/'Anexo '!$H$20</f>
        <v>0</v>
      </c>
      <c r="AS60" s="28">
        <f>PROGRAMADO!AS60/'Anexo '!$H$20</f>
        <v>0</v>
      </c>
      <c r="AT60" s="28">
        <f>PROGRAMADO!AT60/'Anexo '!$H$20</f>
        <v>0</v>
      </c>
      <c r="AU60" s="28">
        <f>PROGRAMADO!AU60/'Anexo '!$H$20</f>
        <v>0</v>
      </c>
      <c r="AV60" s="28">
        <f>PROGRAMADO!AV60/'Anexo '!$H$20</f>
        <v>0</v>
      </c>
      <c r="AW60" s="28">
        <f>PROGRAMADO!AW60/'Anexo '!$H$20</f>
        <v>0</v>
      </c>
      <c r="AX60" s="28">
        <f>PROGRAMADO!AX60/'Anexo '!$H$20</f>
        <v>0</v>
      </c>
      <c r="AY60" s="28">
        <f>PROGRAMADO!AY60/'Anexo '!$I$20</f>
        <v>0</v>
      </c>
      <c r="AZ60" s="28">
        <f>PROGRAMADO!AZ60/'Anexo '!$I$20</f>
        <v>601554.62020098208</v>
      </c>
      <c r="BA60" s="28">
        <f>PROGRAMADO!BA60/'Anexo '!$I$20</f>
        <v>601554.62020098208</v>
      </c>
      <c r="BB60" s="28">
        <f>PROGRAMADO!BB60/'Anexo '!$I$20</f>
        <v>0</v>
      </c>
      <c r="BC60" s="28">
        <f>PROGRAMADO!BC60/'Anexo '!$I$20</f>
        <v>15468547.376596682</v>
      </c>
      <c r="BD60" s="28">
        <f>PROGRAMADO!BD60/'Anexo '!$I$20</f>
        <v>15468547.376596682</v>
      </c>
      <c r="BE60" s="28">
        <f>PROGRAMADO!BE60/'Anexo '!$I$20</f>
        <v>16070101.996797664</v>
      </c>
      <c r="BF60" s="28">
        <f>PROGRAMADO!BF60/'Anexo '!$J$20</f>
        <v>0</v>
      </c>
      <c r="BG60" s="28">
        <f>PROGRAMADO!BG60/'Anexo '!$J$20</f>
        <v>1414124.6231621283</v>
      </c>
      <c r="BH60" s="28">
        <f>PROGRAMADO!BH60/'Anexo '!$J$20</f>
        <v>1414124.6231621283</v>
      </c>
      <c r="BI60" s="28">
        <f>PROGRAMADO!BI60/'Anexo '!$J$20</f>
        <v>0</v>
      </c>
      <c r="BJ60" s="28">
        <f>PROGRAMADO!BJ60/'Anexo '!$J$20</f>
        <v>28938936.367468253</v>
      </c>
      <c r="BK60" s="28">
        <f>PROGRAMADO!BK60/'Anexo '!$J$20</f>
        <v>28938936.367468253</v>
      </c>
      <c r="BL60" s="28">
        <f>PROGRAMADO!BL60/'Anexo '!$J$20</f>
        <v>30353060.990630381</v>
      </c>
      <c r="BM60" s="28">
        <f>PROGRAMADO!BM60/'Anexo '!$K$20</f>
        <v>0</v>
      </c>
      <c r="BN60" s="28">
        <f>PROGRAMADO!BN60/'Anexo '!$K$20</f>
        <v>224289.47512559482</v>
      </c>
      <c r="BO60" s="28">
        <f>PROGRAMADO!BO60/'Anexo '!$K$20</f>
        <v>224289.47512559482</v>
      </c>
      <c r="BP60" s="28">
        <f>PROGRAMADO!BP60/'Anexo '!$K$20</f>
        <v>0</v>
      </c>
      <c r="BQ60" s="28">
        <f>PROGRAMADO!BQ60/'Anexo '!$K$20</f>
        <v>15080718.125486437</v>
      </c>
      <c r="BR60" s="28">
        <f>PROGRAMADO!BR60/'Anexo '!$K$20</f>
        <v>15080718.125486437</v>
      </c>
      <c r="BS60" s="28">
        <f>PROGRAMADO!BS60/'Anexo '!$K$20</f>
        <v>15305007.600612033</v>
      </c>
      <c r="BT60" s="28">
        <f>PROGRAMADO!BT60/'Anexo '!$L$20</f>
        <v>0</v>
      </c>
      <c r="BU60" s="28">
        <f>PROGRAMADO!BU60/'Anexo '!$L$20</f>
        <v>239853.13722458389</v>
      </c>
      <c r="BV60" s="28">
        <f>PROGRAMADO!BV60/'Anexo '!$L$20</f>
        <v>0</v>
      </c>
      <c r="BW60" s="28">
        <f>PROGRAMADO!BW60/'Anexo '!$L$20</f>
        <v>239853.13722458389</v>
      </c>
      <c r="BX60" s="28">
        <f>PROGRAMADO!BX60/'Anexo '!$L$20</f>
        <v>0</v>
      </c>
      <c r="BY60" s="28">
        <f>PROGRAMADO!BY60/'Anexo '!$L$20</f>
        <v>17375373.278207891</v>
      </c>
      <c r="BZ60" s="28">
        <f>PROGRAMADO!BZ60/'Anexo '!$L$20</f>
        <v>17375373.278207891</v>
      </c>
      <c r="CA60" s="28">
        <f>PROGRAMADO!CA60/'Anexo '!$L$20</f>
        <v>17615226.415432476</v>
      </c>
      <c r="CB60" s="28">
        <f>PROGRAMADO!CB60/'Anexo '!$M$20</f>
        <v>0</v>
      </c>
      <c r="CC60" s="28">
        <f>PROGRAMADO!CC60/'Anexo '!$M$20</f>
        <v>42164.832603409668</v>
      </c>
      <c r="CD60" s="28">
        <f>PROGRAMADO!CD60/'Anexo '!$M$20</f>
        <v>0</v>
      </c>
      <c r="CE60" s="28">
        <f>PROGRAMADO!CE60/'Anexo '!$M$20</f>
        <v>42164.832603409668</v>
      </c>
      <c r="CF60" s="28">
        <f>PROGRAMADO!CF60/'Anexo '!$M$20</f>
        <v>0</v>
      </c>
      <c r="CG60" s="28">
        <f>PROGRAMADO!CG60/'Anexo '!$M$20</f>
        <v>4287240.3331493121</v>
      </c>
      <c r="CH60" s="28">
        <f>PROGRAMADO!CH60/'Anexo '!$M$20</f>
        <v>4287240.3331493121</v>
      </c>
      <c r="CI60" s="29">
        <f>PROGRAMADO!CI60/'Anexo '!$M$20</f>
        <v>4329405.165752722</v>
      </c>
    </row>
    <row r="61" spans="1:87" x14ac:dyDescent="0.25">
      <c r="A61" s="23" t="s">
        <v>98</v>
      </c>
      <c r="B61" s="28">
        <f>PROGRAMADO!B61/'Anexo '!$B$20</f>
        <v>0</v>
      </c>
      <c r="C61" s="28">
        <f>PROGRAMADO!C61/'Anexo '!$B$20</f>
        <v>0</v>
      </c>
      <c r="D61" s="28">
        <f>PROGRAMADO!D61/'Anexo '!$B$20</f>
        <v>0</v>
      </c>
      <c r="E61" s="28">
        <f>PROGRAMADO!E61/'Anexo '!$B$20</f>
        <v>0</v>
      </c>
      <c r="F61" s="28">
        <f>PROGRAMADO!F61/'Anexo '!$B$20</f>
        <v>0</v>
      </c>
      <c r="G61" s="28">
        <f>PROGRAMADO!G61/'Anexo '!$B$20</f>
        <v>0</v>
      </c>
      <c r="H61" s="28">
        <f>PROGRAMADO!H61/'Anexo '!$B$20</f>
        <v>0</v>
      </c>
      <c r="I61" s="28">
        <f>PROGRAMADO!I61/'Anexo '!$C$20</f>
        <v>0</v>
      </c>
      <c r="J61" s="28">
        <f>PROGRAMADO!J61/'Anexo '!$C$20</f>
        <v>0</v>
      </c>
      <c r="K61" s="28">
        <f>PROGRAMADO!K61/'Anexo '!$C$20</f>
        <v>0</v>
      </c>
      <c r="L61" s="28">
        <f>PROGRAMADO!L61/'Anexo '!$C$20</f>
        <v>0</v>
      </c>
      <c r="M61" s="28">
        <f>PROGRAMADO!M61/'Anexo '!$C$20</f>
        <v>0</v>
      </c>
      <c r="N61" s="28">
        <f>PROGRAMADO!N61/'Anexo '!$C$20</f>
        <v>0</v>
      </c>
      <c r="O61" s="28">
        <f>PROGRAMADO!O61/'Anexo '!$C$20</f>
        <v>0</v>
      </c>
      <c r="P61" s="28">
        <f>PROGRAMADO!P61/'Anexo '!$D$20</f>
        <v>0</v>
      </c>
      <c r="Q61" s="28">
        <f>PROGRAMADO!Q61/'Anexo '!$D$20</f>
        <v>0</v>
      </c>
      <c r="R61" s="28">
        <f>PROGRAMADO!R61/'Anexo '!$D$20</f>
        <v>0</v>
      </c>
      <c r="S61" s="28">
        <f>PROGRAMADO!S61/'Anexo '!$D$20</f>
        <v>0</v>
      </c>
      <c r="T61" s="28">
        <f>PROGRAMADO!T61/'Anexo '!$D$20</f>
        <v>0</v>
      </c>
      <c r="U61" s="28">
        <f>PROGRAMADO!U61/'Anexo '!$D$20</f>
        <v>0</v>
      </c>
      <c r="V61" s="28">
        <f>PROGRAMADO!V61/'Anexo '!$D$20</f>
        <v>0</v>
      </c>
      <c r="W61" s="28">
        <f>PROGRAMADO!W61/'Anexo '!$E$13</f>
        <v>0</v>
      </c>
      <c r="X61" s="28">
        <f>PROGRAMADO!X61/'Anexo '!$E$13</f>
        <v>1115348.8172307024</v>
      </c>
      <c r="Y61" s="28">
        <f>PROGRAMADO!Y61/'Anexo '!$E$13</f>
        <v>1115348.8172307024</v>
      </c>
      <c r="Z61" s="28">
        <f>PROGRAMADO!Z61/'Anexo '!$E$13</f>
        <v>0</v>
      </c>
      <c r="AA61" s="28">
        <f>PROGRAMADO!AA61/'Anexo '!$E$13</f>
        <v>0</v>
      </c>
      <c r="AB61" s="28">
        <f>PROGRAMADO!AB61/'Anexo '!$E$13</f>
        <v>0</v>
      </c>
      <c r="AC61" s="28">
        <f>PROGRAMADO!AC61/'Anexo '!$E$13</f>
        <v>1115348.8172307024</v>
      </c>
      <c r="AD61" s="28">
        <f>PROGRAMADO!AD61/'Anexo '!$F$20</f>
        <v>0</v>
      </c>
      <c r="AE61" s="28">
        <f>PROGRAMADO!AE61/'Anexo '!$F$20</f>
        <v>0</v>
      </c>
      <c r="AF61" s="28">
        <f>PROGRAMADO!AF61/'Anexo '!$F$20</f>
        <v>0</v>
      </c>
      <c r="AG61" s="28">
        <f>PROGRAMADO!AG61/'Anexo '!$F$20</f>
        <v>0</v>
      </c>
      <c r="AH61" s="28">
        <f>PROGRAMADO!AH61/'Anexo '!$F$20</f>
        <v>0</v>
      </c>
      <c r="AI61" s="28">
        <f>PROGRAMADO!AI61/'Anexo '!$F$20</f>
        <v>0</v>
      </c>
      <c r="AJ61" s="28">
        <f>PROGRAMADO!AJ61/'Anexo '!$F$20</f>
        <v>0</v>
      </c>
      <c r="AK61" s="28">
        <f>PROGRAMADO!AK61/'Anexo '!$G$20</f>
        <v>0</v>
      </c>
      <c r="AL61" s="28">
        <f>PROGRAMADO!AL61/'Anexo '!$G$20</f>
        <v>950004.52677274856</v>
      </c>
      <c r="AM61" s="28">
        <f>PROGRAMADO!AM61/'Anexo '!$G$20</f>
        <v>950004.52677274856</v>
      </c>
      <c r="AN61" s="28">
        <f>PROGRAMADO!AN61/'Anexo '!$G$20</f>
        <v>0</v>
      </c>
      <c r="AO61" s="28">
        <f>PROGRAMADO!AO61/'Anexo '!$G$20</f>
        <v>0</v>
      </c>
      <c r="AP61" s="28">
        <f>PROGRAMADO!AP61/'Anexo '!$G$20</f>
        <v>0</v>
      </c>
      <c r="AQ61" s="28">
        <f>PROGRAMADO!AQ61/'Anexo '!$G$20</f>
        <v>950004.52677274856</v>
      </c>
      <c r="AR61" s="28">
        <f>PROGRAMADO!AR61/'Anexo '!$H$20</f>
        <v>0</v>
      </c>
      <c r="AS61" s="28">
        <f>PROGRAMADO!AS61/'Anexo '!$H$20</f>
        <v>0</v>
      </c>
      <c r="AT61" s="28">
        <f>PROGRAMADO!AT61/'Anexo '!$H$20</f>
        <v>0</v>
      </c>
      <c r="AU61" s="28">
        <f>PROGRAMADO!AU61/'Anexo '!$H$20</f>
        <v>0</v>
      </c>
      <c r="AV61" s="28">
        <f>PROGRAMADO!AV61/'Anexo '!$H$20</f>
        <v>0</v>
      </c>
      <c r="AW61" s="28">
        <f>PROGRAMADO!AW61/'Anexo '!$H$20</f>
        <v>0</v>
      </c>
      <c r="AX61" s="28">
        <f>PROGRAMADO!AX61/'Anexo '!$H$20</f>
        <v>0</v>
      </c>
      <c r="AY61" s="28">
        <f>PROGRAMADO!AY61/'Anexo '!$I$20</f>
        <v>0</v>
      </c>
      <c r="AZ61" s="28">
        <f>PROGRAMADO!AZ61/'Anexo '!$I$20</f>
        <v>0</v>
      </c>
      <c r="BA61" s="28">
        <f>PROGRAMADO!BA61/'Anexo '!$I$20</f>
        <v>0</v>
      </c>
      <c r="BB61" s="28">
        <f>PROGRAMADO!BB61/'Anexo '!$I$20</f>
        <v>0</v>
      </c>
      <c r="BC61" s="28">
        <f>PROGRAMADO!BC61/'Anexo '!$I$20</f>
        <v>0</v>
      </c>
      <c r="BD61" s="28">
        <f>PROGRAMADO!BD61/'Anexo '!$I$20</f>
        <v>0</v>
      </c>
      <c r="BE61" s="28">
        <f>PROGRAMADO!BE61/'Anexo '!$I$20</f>
        <v>0</v>
      </c>
      <c r="BF61" s="28">
        <f>PROGRAMADO!BF61/'Anexo '!$J$20</f>
        <v>0</v>
      </c>
      <c r="BG61" s="28">
        <f>PROGRAMADO!BG61/'Anexo '!$J$20</f>
        <v>0</v>
      </c>
      <c r="BH61" s="28">
        <f>PROGRAMADO!BH61/'Anexo '!$J$20</f>
        <v>0</v>
      </c>
      <c r="BI61" s="28">
        <f>PROGRAMADO!BI61/'Anexo '!$J$20</f>
        <v>0</v>
      </c>
      <c r="BJ61" s="28">
        <f>PROGRAMADO!BJ61/'Anexo '!$J$20</f>
        <v>0</v>
      </c>
      <c r="BK61" s="28">
        <f>PROGRAMADO!BK61/'Anexo '!$J$20</f>
        <v>0</v>
      </c>
      <c r="BL61" s="28">
        <f>PROGRAMADO!BL61/'Anexo '!$J$20</f>
        <v>0</v>
      </c>
      <c r="BM61" s="28">
        <f>PROGRAMADO!BM61/'Anexo '!$K$20</f>
        <v>0</v>
      </c>
      <c r="BN61" s="28">
        <f>PROGRAMADO!BN61/'Anexo '!$K$20</f>
        <v>0</v>
      </c>
      <c r="BO61" s="28">
        <f>PROGRAMADO!BO61/'Anexo '!$K$20</f>
        <v>0</v>
      </c>
      <c r="BP61" s="28">
        <f>PROGRAMADO!BP61/'Anexo '!$K$20</f>
        <v>0</v>
      </c>
      <c r="BQ61" s="28">
        <f>PROGRAMADO!BQ61/'Anexo '!$K$20</f>
        <v>0</v>
      </c>
      <c r="BR61" s="28">
        <f>PROGRAMADO!BR61/'Anexo '!$K$20</f>
        <v>0</v>
      </c>
      <c r="BS61" s="28">
        <f>PROGRAMADO!BS61/'Anexo '!$K$20</f>
        <v>0</v>
      </c>
      <c r="BT61" s="28">
        <f>PROGRAMADO!BT61/'Anexo '!$L$20</f>
        <v>0</v>
      </c>
      <c r="BU61" s="28">
        <f>PROGRAMADO!BU61/'Anexo '!$L$20</f>
        <v>0</v>
      </c>
      <c r="BV61" s="28">
        <f>PROGRAMADO!BV61/'Anexo '!$L$20</f>
        <v>0</v>
      </c>
      <c r="BW61" s="28">
        <f>PROGRAMADO!BW61/'Anexo '!$L$20</f>
        <v>0</v>
      </c>
      <c r="BX61" s="28">
        <f>PROGRAMADO!BX61/'Anexo '!$L$20</f>
        <v>0</v>
      </c>
      <c r="BY61" s="28">
        <f>PROGRAMADO!BY61/'Anexo '!$L$20</f>
        <v>0</v>
      </c>
      <c r="BZ61" s="28">
        <f>PROGRAMADO!BZ61/'Anexo '!$L$20</f>
        <v>0</v>
      </c>
      <c r="CA61" s="28">
        <f>PROGRAMADO!CA61/'Anexo '!$L$20</f>
        <v>0</v>
      </c>
      <c r="CB61" s="28">
        <f>PROGRAMADO!CB61/'Anexo '!$M$20</f>
        <v>0</v>
      </c>
      <c r="CC61" s="28">
        <f>PROGRAMADO!CC61/'Anexo '!$M$20</f>
        <v>0</v>
      </c>
      <c r="CD61" s="28">
        <f>PROGRAMADO!CD61/'Anexo '!$M$20</f>
        <v>0</v>
      </c>
      <c r="CE61" s="28">
        <f>PROGRAMADO!CE61/'Anexo '!$M$20</f>
        <v>0</v>
      </c>
      <c r="CF61" s="28">
        <f>PROGRAMADO!CF61/'Anexo '!$M$20</f>
        <v>0</v>
      </c>
      <c r="CG61" s="28">
        <f>PROGRAMADO!CG61/'Anexo '!$M$20</f>
        <v>0</v>
      </c>
      <c r="CH61" s="28">
        <f>PROGRAMADO!CH61/'Anexo '!$M$20</f>
        <v>0</v>
      </c>
      <c r="CI61" s="29">
        <f>PROGRAMADO!CI61/'Anexo '!$M$20</f>
        <v>0</v>
      </c>
    </row>
    <row r="62" spans="1:87" x14ac:dyDescent="0.25">
      <c r="A62" s="23" t="s">
        <v>99</v>
      </c>
      <c r="B62" s="28">
        <f>PROGRAMADO!B62/'Anexo '!$B$20</f>
        <v>0</v>
      </c>
      <c r="C62" s="28">
        <f>PROGRAMADO!C62/'Anexo '!$B$20</f>
        <v>0</v>
      </c>
      <c r="D62" s="28">
        <f>PROGRAMADO!D62/'Anexo '!$B$20</f>
        <v>0</v>
      </c>
      <c r="E62" s="28">
        <f>PROGRAMADO!E62/'Anexo '!$B$20</f>
        <v>0</v>
      </c>
      <c r="F62" s="28">
        <f>PROGRAMADO!F62/'Anexo '!$B$20</f>
        <v>0</v>
      </c>
      <c r="G62" s="28">
        <f>PROGRAMADO!G62/'Anexo '!$B$20</f>
        <v>0</v>
      </c>
      <c r="H62" s="28">
        <f>PROGRAMADO!H62/'Anexo '!$B$20</f>
        <v>0</v>
      </c>
      <c r="I62" s="28">
        <f>PROGRAMADO!I62/'Anexo '!$C$20</f>
        <v>0</v>
      </c>
      <c r="J62" s="28">
        <f>PROGRAMADO!J62/'Anexo '!$C$20</f>
        <v>0</v>
      </c>
      <c r="K62" s="28">
        <f>PROGRAMADO!K62/'Anexo '!$C$20</f>
        <v>0</v>
      </c>
      <c r="L62" s="28">
        <f>PROGRAMADO!L62/'Anexo '!$C$20</f>
        <v>0</v>
      </c>
      <c r="M62" s="28">
        <f>PROGRAMADO!M62/'Anexo '!$C$20</f>
        <v>0</v>
      </c>
      <c r="N62" s="28">
        <f>PROGRAMADO!N62/'Anexo '!$C$20</f>
        <v>0</v>
      </c>
      <c r="O62" s="28">
        <f>PROGRAMADO!O62/'Anexo '!$C$20</f>
        <v>0</v>
      </c>
      <c r="P62" s="28">
        <f>PROGRAMADO!P62/'Anexo '!$D$20</f>
        <v>0</v>
      </c>
      <c r="Q62" s="28">
        <f>PROGRAMADO!Q62/'Anexo '!$D$20</f>
        <v>0</v>
      </c>
      <c r="R62" s="28">
        <f>PROGRAMADO!R62/'Anexo '!$D$20</f>
        <v>0</v>
      </c>
      <c r="S62" s="28">
        <f>PROGRAMADO!S62/'Anexo '!$D$20</f>
        <v>0</v>
      </c>
      <c r="T62" s="28">
        <f>PROGRAMADO!T62/'Anexo '!$D$20</f>
        <v>0</v>
      </c>
      <c r="U62" s="28">
        <f>PROGRAMADO!U62/'Anexo '!$D$20</f>
        <v>0</v>
      </c>
      <c r="V62" s="28">
        <f>PROGRAMADO!V62/'Anexo '!$D$20</f>
        <v>0</v>
      </c>
      <c r="W62" s="28">
        <f>PROGRAMADO!W62/'Anexo '!$E$13</f>
        <v>0</v>
      </c>
      <c r="X62" s="28">
        <f>PROGRAMADO!X62/'Anexo '!$E$13</f>
        <v>446139.5268922809</v>
      </c>
      <c r="Y62" s="28">
        <f>PROGRAMADO!Y62/'Anexo '!$E$13</f>
        <v>446139.5268922809</v>
      </c>
      <c r="Z62" s="28">
        <f>PROGRAMADO!Z62/'Anexo '!$E$13</f>
        <v>0</v>
      </c>
      <c r="AA62" s="28">
        <f>PROGRAMADO!AA62/'Anexo '!$E$13</f>
        <v>0</v>
      </c>
      <c r="AB62" s="28">
        <f>PROGRAMADO!AB62/'Anexo '!$E$13</f>
        <v>0</v>
      </c>
      <c r="AC62" s="28">
        <f>PROGRAMADO!AC62/'Anexo '!$E$13</f>
        <v>446139.5268922809</v>
      </c>
      <c r="AD62" s="28">
        <f>PROGRAMADO!AD62/'Anexo '!$F$20</f>
        <v>0</v>
      </c>
      <c r="AE62" s="28">
        <f>PROGRAMADO!AE62/'Anexo '!$F$20</f>
        <v>0</v>
      </c>
      <c r="AF62" s="28">
        <f>PROGRAMADO!AF62/'Anexo '!$F$20</f>
        <v>0</v>
      </c>
      <c r="AG62" s="28">
        <f>PROGRAMADO!AG62/'Anexo '!$F$20</f>
        <v>35681028.000000007</v>
      </c>
      <c r="AH62" s="28">
        <f>PROGRAMADO!AH62/'Anexo '!$F$20</f>
        <v>8193172.0000000028</v>
      </c>
      <c r="AI62" s="28">
        <f>PROGRAMADO!AI62/'Anexo '!$F$20</f>
        <v>43874200.000000007</v>
      </c>
      <c r="AJ62" s="28">
        <f>PROGRAMADO!AJ62/'Anexo '!$F$20</f>
        <v>43874200.000000007</v>
      </c>
      <c r="AK62" s="28">
        <f>PROGRAMADO!AK62/'Anexo '!$G$20</f>
        <v>0</v>
      </c>
      <c r="AL62" s="28">
        <f>PROGRAMADO!AL62/'Anexo '!$G$20</f>
        <v>0</v>
      </c>
      <c r="AM62" s="28">
        <f>PROGRAMADO!AM62/'Anexo '!$G$20</f>
        <v>0</v>
      </c>
      <c r="AN62" s="28">
        <f>PROGRAMADO!AN62/'Anexo '!$G$20</f>
        <v>26642663.202323209</v>
      </c>
      <c r="AO62" s="28">
        <f>PROGRAMADO!AO62/'Anexo '!$G$20</f>
        <v>0</v>
      </c>
      <c r="AP62" s="28">
        <f>PROGRAMADO!AP62/'Anexo '!$G$20</f>
        <v>26642663.202323209</v>
      </c>
      <c r="AQ62" s="28">
        <f>PROGRAMADO!AQ62/'Anexo '!$G$20</f>
        <v>26642663.202323209</v>
      </c>
      <c r="AR62" s="28">
        <f>PROGRAMADO!AR62/'Anexo '!$H$20</f>
        <v>0</v>
      </c>
      <c r="AS62" s="28">
        <f>PROGRAMADO!AS62/'Anexo '!$H$20</f>
        <v>0</v>
      </c>
      <c r="AT62" s="28">
        <f>PROGRAMADO!AT62/'Anexo '!$H$20</f>
        <v>0</v>
      </c>
      <c r="AU62" s="28">
        <f>PROGRAMADO!AU62/'Anexo '!$H$20</f>
        <v>51931452.416931666</v>
      </c>
      <c r="AV62" s="28">
        <f>PROGRAMADO!AV62/'Anexo '!$H$20</f>
        <v>0</v>
      </c>
      <c r="AW62" s="28">
        <f>PROGRAMADO!AW62/'Anexo '!$H$20</f>
        <v>51931452.416931666</v>
      </c>
      <c r="AX62" s="28">
        <f>PROGRAMADO!AX62/'Anexo '!$H$20</f>
        <v>51931452.416931666</v>
      </c>
      <c r="AY62" s="28">
        <f>PROGRAMADO!AY62/'Anexo '!$I$20</f>
        <v>0</v>
      </c>
      <c r="AZ62" s="28">
        <f>PROGRAMADO!AZ62/'Anexo '!$I$20</f>
        <v>0</v>
      </c>
      <c r="BA62" s="28">
        <f>PROGRAMADO!BA62/'Anexo '!$I$20</f>
        <v>0</v>
      </c>
      <c r="BB62" s="28">
        <f>PROGRAMADO!BB62/'Anexo '!$I$20</f>
        <v>20225570.193387993</v>
      </c>
      <c r="BC62" s="28">
        <f>PROGRAMADO!BC62/'Anexo '!$I$20</f>
        <v>0</v>
      </c>
      <c r="BD62" s="28">
        <f>PROGRAMADO!BD62/'Anexo '!$I$20</f>
        <v>20225570.193387993</v>
      </c>
      <c r="BE62" s="28">
        <f>PROGRAMADO!BE62/'Anexo '!$I$20</f>
        <v>20225570.193387993</v>
      </c>
      <c r="BF62" s="28">
        <f>PROGRAMADO!BF62/'Anexo '!$J$20</f>
        <v>0</v>
      </c>
      <c r="BG62" s="28">
        <f>PROGRAMADO!BG62/'Anexo '!$J$20</f>
        <v>0</v>
      </c>
      <c r="BH62" s="28">
        <f>PROGRAMADO!BH62/'Anexo '!$J$20</f>
        <v>0</v>
      </c>
      <c r="BI62" s="28">
        <f>PROGRAMADO!BI62/'Anexo '!$J$20</f>
        <v>0</v>
      </c>
      <c r="BJ62" s="28">
        <f>PROGRAMADO!BJ62/'Anexo '!$J$20</f>
        <v>0</v>
      </c>
      <c r="BK62" s="28">
        <f>PROGRAMADO!BK62/'Anexo '!$J$20</f>
        <v>0</v>
      </c>
      <c r="BL62" s="28">
        <f>PROGRAMADO!BL62/'Anexo '!$J$20</f>
        <v>0</v>
      </c>
      <c r="BM62" s="28">
        <f>PROGRAMADO!BM62/'Anexo '!$K$20</f>
        <v>0</v>
      </c>
      <c r="BN62" s="28">
        <f>PROGRAMADO!BN62/'Anexo '!$K$20</f>
        <v>97569641.285541415</v>
      </c>
      <c r="BO62" s="28">
        <f>PROGRAMADO!BO62/'Anexo '!$K$20</f>
        <v>97569641.285541415</v>
      </c>
      <c r="BP62" s="28">
        <f>PROGRAMADO!BP62/'Anexo '!$K$20</f>
        <v>0</v>
      </c>
      <c r="BQ62" s="28">
        <f>PROGRAMADO!BQ62/'Anexo '!$K$20</f>
        <v>0</v>
      </c>
      <c r="BR62" s="28">
        <f>PROGRAMADO!BR62/'Anexo '!$K$20</f>
        <v>0</v>
      </c>
      <c r="BS62" s="28">
        <f>PROGRAMADO!BS62/'Anexo '!$K$20</f>
        <v>97569641.285541415</v>
      </c>
      <c r="BT62" s="28">
        <f>PROGRAMADO!BT62/'Anexo '!$L$20</f>
        <v>0</v>
      </c>
      <c r="BU62" s="28">
        <f>PROGRAMADO!BU62/'Anexo '!$L$20</f>
        <v>101940607.97151296</v>
      </c>
      <c r="BV62" s="28">
        <f>PROGRAMADO!BV62/'Anexo '!$L$20</f>
        <v>0</v>
      </c>
      <c r="BW62" s="28">
        <f>PROGRAMADO!BW62/'Anexo '!$L$20</f>
        <v>101940607.97151296</v>
      </c>
      <c r="BX62" s="28">
        <f>PROGRAMADO!BX62/'Anexo '!$L$20</f>
        <v>0</v>
      </c>
      <c r="BY62" s="28">
        <f>PROGRAMADO!BY62/'Anexo '!$L$20</f>
        <v>0</v>
      </c>
      <c r="BZ62" s="28">
        <f>PROGRAMADO!BZ62/'Anexo '!$L$20</f>
        <v>0</v>
      </c>
      <c r="CA62" s="28">
        <f>PROGRAMADO!CA62/'Anexo '!$L$20</f>
        <v>101940607.97151296</v>
      </c>
      <c r="CB62" s="28">
        <f>PROGRAMADO!CB62/'Anexo '!$M$20</f>
        <v>0</v>
      </c>
      <c r="CC62" s="28">
        <f>PROGRAMADO!CC62/'Anexo '!$M$20</f>
        <v>89670398.528481469</v>
      </c>
      <c r="CD62" s="28">
        <f>PROGRAMADO!CD62/'Anexo '!$M$20</f>
        <v>0</v>
      </c>
      <c r="CE62" s="28">
        <f>PROGRAMADO!CE62/'Anexo '!$M$20</f>
        <v>89670398.528481469</v>
      </c>
      <c r="CF62" s="28">
        <f>PROGRAMADO!CF62/'Anexo '!$M$20</f>
        <v>0</v>
      </c>
      <c r="CG62" s="28">
        <f>PROGRAMADO!CG62/'Anexo '!$M$20</f>
        <v>0</v>
      </c>
      <c r="CH62" s="28">
        <f>PROGRAMADO!CH62/'Anexo '!$M$20</f>
        <v>0</v>
      </c>
      <c r="CI62" s="29">
        <f>PROGRAMADO!CI62/'Anexo '!$M$20</f>
        <v>89670398.528481469</v>
      </c>
    </row>
    <row r="63" spans="1:87" x14ac:dyDescent="0.25">
      <c r="A63" s="23" t="s">
        <v>102</v>
      </c>
      <c r="B63" s="28">
        <f>PROGRAMADO!B63/'Anexo '!$B$20</f>
        <v>0</v>
      </c>
      <c r="C63" s="28">
        <f>PROGRAMADO!C63/'Anexo '!$B$20</f>
        <v>0</v>
      </c>
      <c r="D63" s="28">
        <f>PROGRAMADO!D63/'Anexo '!$B$20</f>
        <v>0</v>
      </c>
      <c r="E63" s="28">
        <f>PROGRAMADO!E63/'Anexo '!$B$20</f>
        <v>0</v>
      </c>
      <c r="F63" s="28">
        <f>PROGRAMADO!F63/'Anexo '!$B$20</f>
        <v>0</v>
      </c>
      <c r="G63" s="28">
        <f>PROGRAMADO!G63/'Anexo '!$B$20</f>
        <v>0</v>
      </c>
      <c r="H63" s="28">
        <f>PROGRAMADO!H63/'Anexo '!$B$20</f>
        <v>0</v>
      </c>
      <c r="I63" s="28">
        <f>PROGRAMADO!I63/'Anexo '!$C$20</f>
        <v>0</v>
      </c>
      <c r="J63" s="28">
        <f>PROGRAMADO!J63/'Anexo '!$C$20</f>
        <v>0</v>
      </c>
      <c r="K63" s="28">
        <f>PROGRAMADO!K63/'Anexo '!$C$20</f>
        <v>0</v>
      </c>
      <c r="L63" s="28">
        <f>PROGRAMADO!L63/'Anexo '!$C$20</f>
        <v>0</v>
      </c>
      <c r="M63" s="28">
        <f>PROGRAMADO!M63/'Anexo '!$C$20</f>
        <v>0</v>
      </c>
      <c r="N63" s="28">
        <f>PROGRAMADO!N63/'Anexo '!$C$20</f>
        <v>0</v>
      </c>
      <c r="O63" s="28">
        <f>PROGRAMADO!O63/'Anexo '!$C$20</f>
        <v>0</v>
      </c>
      <c r="P63" s="28">
        <f>PROGRAMADO!P63/'Anexo '!$D$20</f>
        <v>0</v>
      </c>
      <c r="Q63" s="28">
        <f>PROGRAMADO!Q63/'Anexo '!$D$20</f>
        <v>0</v>
      </c>
      <c r="R63" s="28">
        <f>PROGRAMADO!R63/'Anexo '!$D$20</f>
        <v>0</v>
      </c>
      <c r="S63" s="28">
        <f>PROGRAMADO!S63/'Anexo '!$D$20</f>
        <v>0</v>
      </c>
      <c r="T63" s="28">
        <f>PROGRAMADO!T63/'Anexo '!$D$20</f>
        <v>0</v>
      </c>
      <c r="U63" s="28">
        <f>PROGRAMADO!U63/'Anexo '!$D$20</f>
        <v>0</v>
      </c>
      <c r="V63" s="28">
        <f>PROGRAMADO!V63/'Anexo '!$D$20</f>
        <v>0</v>
      </c>
      <c r="W63" s="28">
        <f>PROGRAMADO!W63/'Anexo '!$E$13</f>
        <v>0</v>
      </c>
      <c r="X63" s="28">
        <f>PROGRAMADO!X63/'Anexo '!$E$13</f>
        <v>0</v>
      </c>
      <c r="Y63" s="28">
        <f>PROGRAMADO!Y63/'Anexo '!$E$13</f>
        <v>0</v>
      </c>
      <c r="Z63" s="28">
        <f>PROGRAMADO!Z63/'Anexo '!$E$13</f>
        <v>0</v>
      </c>
      <c r="AA63" s="28">
        <f>PROGRAMADO!AA63/'Anexo '!$E$13</f>
        <v>0</v>
      </c>
      <c r="AB63" s="28">
        <f>PROGRAMADO!AB63/'Anexo '!$E$13</f>
        <v>0</v>
      </c>
      <c r="AC63" s="28">
        <f>PROGRAMADO!AC63/'Anexo '!$E$13</f>
        <v>0</v>
      </c>
      <c r="AD63" s="28">
        <f>PROGRAMADO!AD63/'Anexo '!$F$20</f>
        <v>0</v>
      </c>
      <c r="AE63" s="28">
        <f>PROGRAMADO!AE63/'Anexo '!$F$20</f>
        <v>0</v>
      </c>
      <c r="AF63" s="28">
        <f>PROGRAMADO!AF63/'Anexo '!$F$20</f>
        <v>0</v>
      </c>
      <c r="AG63" s="28">
        <f>PROGRAMADO!AG63/'Anexo '!$F$20</f>
        <v>6434802.0000000019</v>
      </c>
      <c r="AH63" s="28">
        <f>PROGRAMADO!AH63/'Anexo '!$F$20</f>
        <v>4656630.0000000009</v>
      </c>
      <c r="AI63" s="28">
        <f>PROGRAMADO!AI63/'Anexo '!$F$20</f>
        <v>11091432.000000002</v>
      </c>
      <c r="AJ63" s="28">
        <f>PROGRAMADO!AJ63/'Anexo '!$F$20</f>
        <v>11091432.000000002</v>
      </c>
      <c r="AK63" s="28">
        <f>PROGRAMADO!AK63/'Anexo '!$G$20</f>
        <v>0</v>
      </c>
      <c r="AL63" s="28">
        <f>PROGRAMADO!AL63/'Anexo '!$G$20</f>
        <v>0</v>
      </c>
      <c r="AM63" s="28">
        <f>PROGRAMADO!AM63/'Anexo '!$G$20</f>
        <v>0</v>
      </c>
      <c r="AN63" s="28">
        <f>PROGRAMADO!AN63/'Anexo '!$G$20</f>
        <v>8795247.3593645785</v>
      </c>
      <c r="AO63" s="28">
        <f>PROGRAMADO!AO63/'Anexo '!$G$20</f>
        <v>13004961.568658007</v>
      </c>
      <c r="AP63" s="28">
        <f>PROGRAMADO!AP63/'Anexo '!$G$20</f>
        <v>21800208.928022586</v>
      </c>
      <c r="AQ63" s="28">
        <f>PROGRAMADO!AQ63/'Anexo '!$G$20</f>
        <v>21800208.928022586</v>
      </c>
      <c r="AR63" s="28">
        <f>PROGRAMADO!AR63/'Anexo '!$H$20</f>
        <v>0</v>
      </c>
      <c r="AS63" s="28">
        <f>PROGRAMADO!AS63/'Anexo '!$H$20</f>
        <v>0</v>
      </c>
      <c r="AT63" s="28">
        <f>PROGRAMADO!AT63/'Anexo '!$H$20</f>
        <v>0</v>
      </c>
      <c r="AU63" s="28">
        <f>PROGRAMADO!AU63/'Anexo '!$H$20</f>
        <v>42058457.497285202</v>
      </c>
      <c r="AV63" s="28">
        <f>PROGRAMADO!AV63/'Anexo '!$H$20</f>
        <v>55520980.798152216</v>
      </c>
      <c r="AW63" s="28">
        <f>PROGRAMADO!AW63/'Anexo '!$H$20</f>
        <v>97579438.29543741</v>
      </c>
      <c r="AX63" s="28">
        <f>PROGRAMADO!AX63/'Anexo '!$H$20</f>
        <v>97579438.29543741</v>
      </c>
      <c r="AY63" s="28">
        <f>PROGRAMADO!AY63/'Anexo '!$I$20</f>
        <v>0</v>
      </c>
      <c r="AZ63" s="28">
        <f>PROGRAMADO!AZ63/'Anexo '!$I$20</f>
        <v>0</v>
      </c>
      <c r="BA63" s="28">
        <f>PROGRAMADO!BA63/'Anexo '!$I$20</f>
        <v>0</v>
      </c>
      <c r="BB63" s="28">
        <f>PROGRAMADO!BB63/'Anexo '!$I$20</f>
        <v>7972186.2122624163</v>
      </c>
      <c r="BC63" s="28">
        <f>PROGRAMADO!BC63/'Anexo '!$I$20</f>
        <v>79660429.04495047</v>
      </c>
      <c r="BD63" s="28">
        <f>PROGRAMADO!BD63/'Anexo '!$I$20</f>
        <v>87632615.257212892</v>
      </c>
      <c r="BE63" s="28">
        <f>PROGRAMADO!BE63/'Anexo '!$I$20</f>
        <v>87632615.257212892</v>
      </c>
      <c r="BF63" s="28">
        <f>PROGRAMADO!BF63/'Anexo '!$J$20</f>
        <v>0</v>
      </c>
      <c r="BG63" s="28">
        <f>PROGRAMADO!BG63/'Anexo '!$J$20</f>
        <v>0</v>
      </c>
      <c r="BH63" s="28">
        <f>PROGRAMADO!BH63/'Anexo '!$J$20</f>
        <v>0</v>
      </c>
      <c r="BI63" s="28">
        <f>PROGRAMADO!BI63/'Anexo '!$J$20</f>
        <v>0</v>
      </c>
      <c r="BJ63" s="28">
        <f>PROGRAMADO!BJ63/'Anexo '!$J$20</f>
        <v>90274621.310366079</v>
      </c>
      <c r="BK63" s="28">
        <f>PROGRAMADO!BK63/'Anexo '!$J$20</f>
        <v>90274621.310366079</v>
      </c>
      <c r="BL63" s="28">
        <f>PROGRAMADO!BL63/'Anexo '!$J$20</f>
        <v>90274621.310366079</v>
      </c>
      <c r="BM63" s="28">
        <f>PROGRAMADO!BM63/'Anexo '!$K$20</f>
        <v>0</v>
      </c>
      <c r="BN63" s="28">
        <f>PROGRAMADO!BN63/'Anexo '!$K$20</f>
        <v>0</v>
      </c>
      <c r="BO63" s="28">
        <f>PROGRAMADO!BO63/'Anexo '!$K$20</f>
        <v>0</v>
      </c>
      <c r="BP63" s="28">
        <f>PROGRAMADO!BP63/'Anexo '!$K$20</f>
        <v>0</v>
      </c>
      <c r="BQ63" s="28">
        <f>PROGRAMADO!BQ63/'Anexo '!$K$20</f>
        <v>91616366.669258848</v>
      </c>
      <c r="BR63" s="28">
        <f>PROGRAMADO!BR63/'Anexo '!$K$20</f>
        <v>91616366.669258848</v>
      </c>
      <c r="BS63" s="28">
        <f>PROGRAMADO!BS63/'Anexo '!$K$20</f>
        <v>91616366.669258848</v>
      </c>
      <c r="BT63" s="28">
        <f>PROGRAMADO!BT63/'Anexo '!$L$20</f>
        <v>0</v>
      </c>
      <c r="BU63" s="28">
        <f>PROGRAMADO!BU63/'Anexo '!$L$20</f>
        <v>0</v>
      </c>
      <c r="BV63" s="28">
        <f>PROGRAMADO!BV63/'Anexo '!$L$20</f>
        <v>0</v>
      </c>
      <c r="BW63" s="28">
        <f>PROGRAMADO!BW63/'Anexo '!$L$20</f>
        <v>0</v>
      </c>
      <c r="BX63" s="28">
        <f>PROGRAMADO!BX63/'Anexo '!$L$20</f>
        <v>0</v>
      </c>
      <c r="BY63" s="28">
        <f>PROGRAMADO!BY63/'Anexo '!$L$20</f>
        <v>59159180.062746234</v>
      </c>
      <c r="BZ63" s="28">
        <f>PROGRAMADO!BZ63/'Anexo '!$L$20</f>
        <v>59159180.062746234</v>
      </c>
      <c r="CA63" s="28">
        <f>PROGRAMADO!CA63/'Anexo '!$L$20</f>
        <v>59159180.062746234</v>
      </c>
      <c r="CB63" s="28">
        <f>PROGRAMADO!CB63/'Anexo '!$M$20</f>
        <v>0</v>
      </c>
      <c r="CC63" s="28">
        <f>PROGRAMADO!CC63/'Anexo '!$M$20</f>
        <v>0</v>
      </c>
      <c r="CD63" s="28">
        <f>PROGRAMADO!CD63/'Anexo '!$M$20</f>
        <v>0</v>
      </c>
      <c r="CE63" s="28">
        <f>PROGRAMADO!CE63/'Anexo '!$M$20</f>
        <v>0</v>
      </c>
      <c r="CF63" s="28">
        <f>PROGRAMADO!CF63/'Anexo '!$M$20</f>
        <v>0</v>
      </c>
      <c r="CG63" s="28">
        <f>PROGRAMADO!CG63/'Anexo '!$M$20</f>
        <v>32589843.866522286</v>
      </c>
      <c r="CH63" s="28">
        <f>PROGRAMADO!CH63/'Anexo '!$M$20</f>
        <v>32589843.866522286</v>
      </c>
      <c r="CI63" s="29">
        <f>PROGRAMADO!CI63/'Anexo '!$M$20</f>
        <v>32589843.866522286</v>
      </c>
    </row>
    <row r="64" spans="1:87" x14ac:dyDescent="0.25">
      <c r="A64" s="23" t="s">
        <v>103</v>
      </c>
      <c r="B64" s="28">
        <f>PROGRAMADO!B64/'Anexo '!$B$20</f>
        <v>0</v>
      </c>
      <c r="C64" s="28">
        <f>PROGRAMADO!C64/'Anexo '!$B$20</f>
        <v>0</v>
      </c>
      <c r="D64" s="28">
        <f>PROGRAMADO!D64/'Anexo '!$B$20</f>
        <v>0</v>
      </c>
      <c r="E64" s="28">
        <f>PROGRAMADO!E64/'Anexo '!$B$20</f>
        <v>0</v>
      </c>
      <c r="F64" s="28">
        <f>PROGRAMADO!F64/'Anexo '!$B$20</f>
        <v>0</v>
      </c>
      <c r="G64" s="28">
        <f>PROGRAMADO!G64/'Anexo '!$B$20</f>
        <v>0</v>
      </c>
      <c r="H64" s="28">
        <f>PROGRAMADO!H64/'Anexo '!$B$20</f>
        <v>0</v>
      </c>
      <c r="I64" s="28">
        <f>PROGRAMADO!I64/'Anexo '!$C$20</f>
        <v>0</v>
      </c>
      <c r="J64" s="28">
        <f>PROGRAMADO!J64/'Anexo '!$C$20</f>
        <v>0</v>
      </c>
      <c r="K64" s="28">
        <f>PROGRAMADO!K64/'Anexo '!$C$20</f>
        <v>0</v>
      </c>
      <c r="L64" s="28">
        <f>PROGRAMADO!L64/'Anexo '!$C$20</f>
        <v>0</v>
      </c>
      <c r="M64" s="28">
        <f>PROGRAMADO!M64/'Anexo '!$C$20</f>
        <v>0</v>
      </c>
      <c r="N64" s="28">
        <f>PROGRAMADO!N64/'Anexo '!$C$20</f>
        <v>0</v>
      </c>
      <c r="O64" s="28">
        <f>PROGRAMADO!O64/'Anexo '!$C$20</f>
        <v>0</v>
      </c>
      <c r="P64" s="28">
        <f>PROGRAMADO!P64/'Anexo '!$D$20</f>
        <v>0</v>
      </c>
      <c r="Q64" s="28">
        <f>PROGRAMADO!Q64/'Anexo '!$D$20</f>
        <v>0</v>
      </c>
      <c r="R64" s="28">
        <f>PROGRAMADO!R64/'Anexo '!$D$20</f>
        <v>0</v>
      </c>
      <c r="S64" s="28">
        <f>PROGRAMADO!S64/'Anexo '!$D$20</f>
        <v>0</v>
      </c>
      <c r="T64" s="28">
        <f>PROGRAMADO!T64/'Anexo '!$D$20</f>
        <v>0</v>
      </c>
      <c r="U64" s="28">
        <f>PROGRAMADO!U64/'Anexo '!$D$20</f>
        <v>0</v>
      </c>
      <c r="V64" s="28">
        <f>PROGRAMADO!V64/'Anexo '!$D$20</f>
        <v>0</v>
      </c>
      <c r="W64" s="28">
        <f>PROGRAMADO!W64/'Anexo '!$E$13</f>
        <v>0</v>
      </c>
      <c r="X64" s="28">
        <f>PROGRAMADO!X64/'Anexo '!$E$13</f>
        <v>0</v>
      </c>
      <c r="Y64" s="28">
        <f>PROGRAMADO!Y64/'Anexo '!$E$13</f>
        <v>0</v>
      </c>
      <c r="Z64" s="28">
        <f>PROGRAMADO!Z64/'Anexo '!$E$13</f>
        <v>0</v>
      </c>
      <c r="AA64" s="28">
        <f>PROGRAMADO!AA64/'Anexo '!$E$13</f>
        <v>0</v>
      </c>
      <c r="AB64" s="28">
        <f>PROGRAMADO!AB64/'Anexo '!$E$13</f>
        <v>0</v>
      </c>
      <c r="AC64" s="28">
        <f>PROGRAMADO!AC64/'Anexo '!$E$13</f>
        <v>0</v>
      </c>
      <c r="AD64" s="28">
        <f>PROGRAMADO!AD64/'Anexo '!$F$20</f>
        <v>0</v>
      </c>
      <c r="AE64" s="28">
        <f>PROGRAMADO!AE64/'Anexo '!$F$20</f>
        <v>19247155.000000004</v>
      </c>
      <c r="AF64" s="28">
        <f>PROGRAMADO!AF64/'Anexo '!$F$20</f>
        <v>19247155.000000004</v>
      </c>
      <c r="AG64" s="28">
        <f>PROGRAMADO!AG64/'Anexo '!$F$20</f>
        <v>0</v>
      </c>
      <c r="AH64" s="28">
        <f>PROGRAMADO!AH64/'Anexo '!$F$20</f>
        <v>0</v>
      </c>
      <c r="AI64" s="28">
        <f>PROGRAMADO!AI64/'Anexo '!$F$20</f>
        <v>0</v>
      </c>
      <c r="AJ64" s="28">
        <f>PROGRAMADO!AJ64/'Anexo '!$F$20</f>
        <v>19247155.000000004</v>
      </c>
      <c r="AK64" s="28">
        <f>PROGRAMADO!AK64/'Anexo '!$G$20</f>
        <v>0</v>
      </c>
      <c r="AL64" s="28">
        <f>PROGRAMADO!AL64/'Anexo '!$G$20</f>
        <v>19801437.403873794</v>
      </c>
      <c r="AM64" s="28">
        <f>PROGRAMADO!AM64/'Anexo '!$G$20</f>
        <v>19801437.403873794</v>
      </c>
      <c r="AN64" s="28">
        <f>PROGRAMADO!AN64/'Anexo '!$G$20</f>
        <v>0</v>
      </c>
      <c r="AO64" s="28">
        <f>PROGRAMADO!AO64/'Anexo '!$G$20</f>
        <v>0</v>
      </c>
      <c r="AP64" s="28">
        <f>PROGRAMADO!AP64/'Anexo '!$G$20</f>
        <v>0</v>
      </c>
      <c r="AQ64" s="28">
        <f>PROGRAMADO!AQ64/'Anexo '!$G$20</f>
        <v>19801437.403873794</v>
      </c>
      <c r="AR64" s="28">
        <f>PROGRAMADO!AR64/'Anexo '!$H$20</f>
        <v>0</v>
      </c>
      <c r="AS64" s="28">
        <f>PROGRAMADO!AS64/'Anexo '!$H$20</f>
        <v>28278188.353098515</v>
      </c>
      <c r="AT64" s="28">
        <f>PROGRAMADO!AT64/'Anexo '!$H$20</f>
        <v>28278188.353098515</v>
      </c>
      <c r="AU64" s="28">
        <f>PROGRAMADO!AU64/'Anexo '!$H$20</f>
        <v>0</v>
      </c>
      <c r="AV64" s="28">
        <f>PROGRAMADO!AV64/'Anexo '!$H$20</f>
        <v>0</v>
      </c>
      <c r="AW64" s="28">
        <f>PROGRAMADO!AW64/'Anexo '!$H$20</f>
        <v>0</v>
      </c>
      <c r="AX64" s="28">
        <f>PROGRAMADO!AX64/'Anexo '!$H$20</f>
        <v>28278188.353098515</v>
      </c>
      <c r="AY64" s="28">
        <f>PROGRAMADO!AY64/'Anexo '!$I$20</f>
        <v>0</v>
      </c>
      <c r="AZ64" s="28">
        <f>PROGRAMADO!AZ64/'Anexo '!$I$20</f>
        <v>27563231.004281424</v>
      </c>
      <c r="BA64" s="28">
        <f>PROGRAMADO!BA64/'Anexo '!$I$20</f>
        <v>27563231.004281424</v>
      </c>
      <c r="BB64" s="28">
        <f>PROGRAMADO!BB64/'Anexo '!$I$20</f>
        <v>0</v>
      </c>
      <c r="BC64" s="28">
        <f>PROGRAMADO!BC64/'Anexo '!$I$20</f>
        <v>0</v>
      </c>
      <c r="BD64" s="28">
        <f>PROGRAMADO!BD64/'Anexo '!$I$20</f>
        <v>0</v>
      </c>
      <c r="BE64" s="28">
        <f>PROGRAMADO!BE64/'Anexo '!$I$20</f>
        <v>27563231.004281424</v>
      </c>
      <c r="BF64" s="28">
        <f>PROGRAMADO!BF64/'Anexo '!$J$20</f>
        <v>0</v>
      </c>
      <c r="BG64" s="28">
        <f>PROGRAMADO!BG64/'Anexo '!$J$20</f>
        <v>39308876.610107273</v>
      </c>
      <c r="BH64" s="28">
        <f>PROGRAMADO!BH64/'Anexo '!$J$20</f>
        <v>39308876.610107273</v>
      </c>
      <c r="BI64" s="28">
        <f>PROGRAMADO!BI64/'Anexo '!$J$20</f>
        <v>0</v>
      </c>
      <c r="BJ64" s="28">
        <f>PROGRAMADO!BJ64/'Anexo '!$J$20</f>
        <v>0</v>
      </c>
      <c r="BK64" s="28">
        <f>PROGRAMADO!BK64/'Anexo '!$J$20</f>
        <v>0</v>
      </c>
      <c r="BL64" s="28">
        <f>PROGRAMADO!BL64/'Anexo '!$J$20</f>
        <v>39308876.610107273</v>
      </c>
      <c r="BM64" s="28">
        <f>PROGRAMADO!BM64/'Anexo '!$K$20</f>
        <v>0</v>
      </c>
      <c r="BN64" s="28">
        <f>PROGRAMADO!BN64/'Anexo '!$K$20</f>
        <v>38417463.268108599</v>
      </c>
      <c r="BO64" s="28">
        <f>PROGRAMADO!BO64/'Anexo '!$K$20</f>
        <v>38417463.268108599</v>
      </c>
      <c r="BP64" s="28">
        <f>PROGRAMADO!BP64/'Anexo '!$K$20</f>
        <v>0</v>
      </c>
      <c r="BQ64" s="28">
        <f>PROGRAMADO!BQ64/'Anexo '!$K$20</f>
        <v>0</v>
      </c>
      <c r="BR64" s="28">
        <f>PROGRAMADO!BR64/'Anexo '!$K$20</f>
        <v>0</v>
      </c>
      <c r="BS64" s="28">
        <f>PROGRAMADO!BS64/'Anexo '!$K$20</f>
        <v>38417463.268108599</v>
      </c>
      <c r="BT64" s="28">
        <f>PROGRAMADO!BT64/'Anexo '!$L$20</f>
        <v>0</v>
      </c>
      <c r="BU64" s="28">
        <f>PROGRAMADO!BU64/'Anexo '!$L$20</f>
        <v>42960566.285619833</v>
      </c>
      <c r="BV64" s="28">
        <f>PROGRAMADO!BV64/'Anexo '!$L$20</f>
        <v>0</v>
      </c>
      <c r="BW64" s="28">
        <f>PROGRAMADO!BW64/'Anexo '!$L$20</f>
        <v>42960566.285619833</v>
      </c>
      <c r="BX64" s="28">
        <f>PROGRAMADO!BX64/'Anexo '!$L$20</f>
        <v>0</v>
      </c>
      <c r="BY64" s="28">
        <f>PROGRAMADO!BY64/'Anexo '!$L$20</f>
        <v>0</v>
      </c>
      <c r="BZ64" s="28">
        <f>PROGRAMADO!BZ64/'Anexo '!$L$20</f>
        <v>0</v>
      </c>
      <c r="CA64" s="28">
        <f>PROGRAMADO!CA64/'Anexo '!$L$20</f>
        <v>42960566.285619833</v>
      </c>
      <c r="CB64" s="28">
        <f>PROGRAMADO!CB64/'Anexo '!$M$20</f>
        <v>0</v>
      </c>
      <c r="CC64" s="28">
        <f>PROGRAMADO!CC64/'Anexo '!$M$20</f>
        <v>46486179.190898292</v>
      </c>
      <c r="CD64" s="28">
        <f>PROGRAMADO!CD64/'Anexo '!$M$20</f>
        <v>0</v>
      </c>
      <c r="CE64" s="28">
        <f>PROGRAMADO!CE64/'Anexo '!$M$20</f>
        <v>46486179.190898292</v>
      </c>
      <c r="CF64" s="28">
        <f>PROGRAMADO!CF64/'Anexo '!$M$20</f>
        <v>0</v>
      </c>
      <c r="CG64" s="28">
        <f>PROGRAMADO!CG64/'Anexo '!$M$20</f>
        <v>0</v>
      </c>
      <c r="CH64" s="28">
        <f>PROGRAMADO!CH64/'Anexo '!$M$20</f>
        <v>0</v>
      </c>
      <c r="CI64" s="29">
        <f>PROGRAMADO!CI64/'Anexo '!$M$20</f>
        <v>46486179.190898292</v>
      </c>
    </row>
    <row r="65" spans="1:87" x14ac:dyDescent="0.25">
      <c r="A65" s="23" t="s">
        <v>104</v>
      </c>
      <c r="B65" s="28">
        <f>PROGRAMADO!B65/'Anexo '!$B$20</f>
        <v>0</v>
      </c>
      <c r="C65" s="28">
        <f>PROGRAMADO!C65/'Anexo '!$B$20</f>
        <v>0</v>
      </c>
      <c r="D65" s="28">
        <f>PROGRAMADO!D65/'Anexo '!$B$20</f>
        <v>0</v>
      </c>
      <c r="E65" s="28">
        <f>PROGRAMADO!E65/'Anexo '!$B$20</f>
        <v>0</v>
      </c>
      <c r="F65" s="28">
        <f>PROGRAMADO!F65/'Anexo '!$B$20</f>
        <v>0</v>
      </c>
      <c r="G65" s="28">
        <f>PROGRAMADO!G65/'Anexo '!$B$20</f>
        <v>0</v>
      </c>
      <c r="H65" s="28">
        <f>PROGRAMADO!H65/'Anexo '!$B$20</f>
        <v>0</v>
      </c>
      <c r="I65" s="28">
        <f>PROGRAMADO!I65/'Anexo '!$C$20</f>
        <v>0</v>
      </c>
      <c r="J65" s="28">
        <f>PROGRAMADO!J65/'Anexo '!$C$20</f>
        <v>0</v>
      </c>
      <c r="K65" s="28">
        <f>PROGRAMADO!K65/'Anexo '!$C$20</f>
        <v>0</v>
      </c>
      <c r="L65" s="28">
        <f>PROGRAMADO!L65/'Anexo '!$C$20</f>
        <v>0</v>
      </c>
      <c r="M65" s="28">
        <f>PROGRAMADO!M65/'Anexo '!$C$20</f>
        <v>0</v>
      </c>
      <c r="N65" s="28">
        <f>PROGRAMADO!N65/'Anexo '!$C$20</f>
        <v>0</v>
      </c>
      <c r="O65" s="28">
        <f>PROGRAMADO!O65/'Anexo '!$C$20</f>
        <v>0</v>
      </c>
      <c r="P65" s="28">
        <f>PROGRAMADO!P65/'Anexo '!$D$20</f>
        <v>0</v>
      </c>
      <c r="Q65" s="28">
        <f>PROGRAMADO!Q65/'Anexo '!$D$20</f>
        <v>0</v>
      </c>
      <c r="R65" s="28">
        <f>PROGRAMADO!R65/'Anexo '!$D$20</f>
        <v>0</v>
      </c>
      <c r="S65" s="28">
        <f>PROGRAMADO!S65/'Anexo '!$D$20</f>
        <v>0</v>
      </c>
      <c r="T65" s="28">
        <f>PROGRAMADO!T65/'Anexo '!$D$20</f>
        <v>0</v>
      </c>
      <c r="U65" s="28">
        <f>PROGRAMADO!U65/'Anexo '!$D$20</f>
        <v>0</v>
      </c>
      <c r="V65" s="28">
        <f>PROGRAMADO!V65/'Anexo '!$D$20</f>
        <v>0</v>
      </c>
      <c r="W65" s="28">
        <f>PROGRAMADO!W65/'Anexo '!$E$13</f>
        <v>0</v>
      </c>
      <c r="X65" s="28">
        <f>PROGRAMADO!X65/'Anexo '!$E$13</f>
        <v>0</v>
      </c>
      <c r="Y65" s="28">
        <f>PROGRAMADO!Y65/'Anexo '!$E$13</f>
        <v>0</v>
      </c>
      <c r="Z65" s="28">
        <f>PROGRAMADO!Z65/'Anexo '!$E$13</f>
        <v>0</v>
      </c>
      <c r="AA65" s="28">
        <f>PROGRAMADO!AA65/'Anexo '!$E$13</f>
        <v>0</v>
      </c>
      <c r="AB65" s="28">
        <f>PROGRAMADO!AB65/'Anexo '!$E$13</f>
        <v>0</v>
      </c>
      <c r="AC65" s="28">
        <f>PROGRAMADO!AC65/'Anexo '!$E$13</f>
        <v>0</v>
      </c>
      <c r="AD65" s="28">
        <f>PROGRAMADO!AD65/'Anexo '!$F$20</f>
        <v>0</v>
      </c>
      <c r="AE65" s="28">
        <f>PROGRAMADO!AE65/'Anexo '!$F$20</f>
        <v>24192826.000000004</v>
      </c>
      <c r="AF65" s="28">
        <f>PROGRAMADO!AF65/'Anexo '!$F$20</f>
        <v>24192826.000000004</v>
      </c>
      <c r="AG65" s="28">
        <f>PROGRAMADO!AG65/'Anexo '!$F$20</f>
        <v>0</v>
      </c>
      <c r="AH65" s="28">
        <f>PROGRAMADO!AH65/'Anexo '!$F$20</f>
        <v>0</v>
      </c>
      <c r="AI65" s="28">
        <f>PROGRAMADO!AI65/'Anexo '!$F$20</f>
        <v>0</v>
      </c>
      <c r="AJ65" s="28">
        <f>PROGRAMADO!AJ65/'Anexo '!$F$20</f>
        <v>24192826.000000004</v>
      </c>
      <c r="AK65" s="28">
        <f>PROGRAMADO!AK65/'Anexo '!$G$20</f>
        <v>0</v>
      </c>
      <c r="AL65" s="28">
        <f>PROGRAMADO!AL65/'Anexo '!$G$20</f>
        <v>0</v>
      </c>
      <c r="AM65" s="28">
        <f>PROGRAMADO!AM65/'Anexo '!$G$20</f>
        <v>0</v>
      </c>
      <c r="AN65" s="28">
        <f>PROGRAMADO!AN65/'Anexo '!$G$20</f>
        <v>0</v>
      </c>
      <c r="AO65" s="28">
        <f>PROGRAMADO!AO65/'Anexo '!$G$20</f>
        <v>0</v>
      </c>
      <c r="AP65" s="28">
        <f>PROGRAMADO!AP65/'Anexo '!$G$20</f>
        <v>0</v>
      </c>
      <c r="AQ65" s="28">
        <f>PROGRAMADO!AQ65/'Anexo '!$G$20</f>
        <v>0</v>
      </c>
      <c r="AR65" s="28">
        <f>PROGRAMADO!AR65/'Anexo '!$H$20</f>
        <v>0</v>
      </c>
      <c r="AS65" s="28">
        <f>PROGRAMADO!AS65/'Anexo '!$H$20</f>
        <v>0</v>
      </c>
      <c r="AT65" s="28">
        <f>PROGRAMADO!AT65/'Anexo '!$H$20</f>
        <v>0</v>
      </c>
      <c r="AU65" s="28">
        <f>PROGRAMADO!AU65/'Anexo '!$H$20</f>
        <v>0</v>
      </c>
      <c r="AV65" s="28">
        <f>PROGRAMADO!AV65/'Anexo '!$H$20</f>
        <v>0</v>
      </c>
      <c r="AW65" s="28">
        <f>PROGRAMADO!AW65/'Anexo '!$H$20</f>
        <v>0</v>
      </c>
      <c r="AX65" s="28">
        <f>PROGRAMADO!AX65/'Anexo '!$H$20</f>
        <v>0</v>
      </c>
      <c r="AY65" s="28">
        <f>PROGRAMADO!AY65/'Anexo '!$I$20</f>
        <v>0</v>
      </c>
      <c r="AZ65" s="28">
        <f>PROGRAMADO!AZ65/'Anexo '!$I$20</f>
        <v>0</v>
      </c>
      <c r="BA65" s="28">
        <f>PROGRAMADO!BA65/'Anexo '!$I$20</f>
        <v>0</v>
      </c>
      <c r="BB65" s="28">
        <f>PROGRAMADO!BB65/'Anexo '!$I$20</f>
        <v>0</v>
      </c>
      <c r="BC65" s="28">
        <f>PROGRAMADO!BC65/'Anexo '!$I$20</f>
        <v>0</v>
      </c>
      <c r="BD65" s="28">
        <f>PROGRAMADO!BD65/'Anexo '!$I$20</f>
        <v>0</v>
      </c>
      <c r="BE65" s="28">
        <f>PROGRAMADO!BE65/'Anexo '!$I$20</f>
        <v>0</v>
      </c>
      <c r="BF65" s="28">
        <f>PROGRAMADO!BF65/'Anexo '!$J$20</f>
        <v>0</v>
      </c>
      <c r="BG65" s="28">
        <f>PROGRAMADO!BG65/'Anexo '!$J$20</f>
        <v>0</v>
      </c>
      <c r="BH65" s="28">
        <f>PROGRAMADO!BH65/'Anexo '!$J$20</f>
        <v>0</v>
      </c>
      <c r="BI65" s="28">
        <f>PROGRAMADO!BI65/'Anexo '!$J$20</f>
        <v>0</v>
      </c>
      <c r="BJ65" s="28">
        <f>PROGRAMADO!BJ65/'Anexo '!$J$20</f>
        <v>0</v>
      </c>
      <c r="BK65" s="28">
        <f>PROGRAMADO!BK65/'Anexo '!$J$20</f>
        <v>0</v>
      </c>
      <c r="BL65" s="28">
        <f>PROGRAMADO!BL65/'Anexo '!$J$20</f>
        <v>0</v>
      </c>
      <c r="BM65" s="28">
        <f>PROGRAMADO!BM65/'Anexo '!$K$20</f>
        <v>0</v>
      </c>
      <c r="BN65" s="28">
        <f>PROGRAMADO!BN65/'Anexo '!$K$20</f>
        <v>0</v>
      </c>
      <c r="BO65" s="28">
        <f>PROGRAMADO!BO65/'Anexo '!$K$20</f>
        <v>0</v>
      </c>
      <c r="BP65" s="28">
        <f>PROGRAMADO!BP65/'Anexo '!$K$20</f>
        <v>0</v>
      </c>
      <c r="BQ65" s="28">
        <f>PROGRAMADO!BQ65/'Anexo '!$K$20</f>
        <v>0</v>
      </c>
      <c r="BR65" s="28">
        <f>PROGRAMADO!BR65/'Anexo '!$K$20</f>
        <v>0</v>
      </c>
      <c r="BS65" s="28">
        <f>PROGRAMADO!BS65/'Anexo '!$K$20</f>
        <v>0</v>
      </c>
      <c r="BT65" s="28">
        <f>PROGRAMADO!BT65/'Anexo '!$L$20</f>
        <v>0</v>
      </c>
      <c r="BU65" s="28">
        <f>PROGRAMADO!BU65/'Anexo '!$L$20</f>
        <v>0</v>
      </c>
      <c r="BV65" s="28">
        <f>PROGRAMADO!BV65/'Anexo '!$L$20</f>
        <v>0</v>
      </c>
      <c r="BW65" s="28">
        <f>PROGRAMADO!BW65/'Anexo '!$L$20</f>
        <v>0</v>
      </c>
      <c r="BX65" s="28">
        <f>PROGRAMADO!BX65/'Anexo '!$L$20</f>
        <v>0</v>
      </c>
      <c r="BY65" s="28">
        <f>PROGRAMADO!BY65/'Anexo '!$L$20</f>
        <v>0</v>
      </c>
      <c r="BZ65" s="28">
        <f>PROGRAMADO!BZ65/'Anexo '!$L$20</f>
        <v>0</v>
      </c>
      <c r="CA65" s="28">
        <f>PROGRAMADO!CA65/'Anexo '!$L$20</f>
        <v>0</v>
      </c>
      <c r="CB65" s="28">
        <f>PROGRAMADO!CB65/'Anexo '!$M$20</f>
        <v>0</v>
      </c>
      <c r="CC65" s="28">
        <f>PROGRAMADO!CC65/'Anexo '!$M$20</f>
        <v>0</v>
      </c>
      <c r="CD65" s="28">
        <f>PROGRAMADO!CD65/'Anexo '!$M$20</f>
        <v>0</v>
      </c>
      <c r="CE65" s="28">
        <f>PROGRAMADO!CE65/'Anexo '!$M$20</f>
        <v>0</v>
      </c>
      <c r="CF65" s="28">
        <f>PROGRAMADO!CF65/'Anexo '!$M$20</f>
        <v>0</v>
      </c>
      <c r="CG65" s="28">
        <f>PROGRAMADO!CG65/'Anexo '!$M$20</f>
        <v>0</v>
      </c>
      <c r="CH65" s="28">
        <f>PROGRAMADO!CH65/'Anexo '!$M$20</f>
        <v>0</v>
      </c>
      <c r="CI65" s="29">
        <f>PROGRAMADO!CI65/'Anexo '!$M$20</f>
        <v>0</v>
      </c>
    </row>
    <row r="66" spans="1:87" x14ac:dyDescent="0.25">
      <c r="A66" s="23" t="s">
        <v>105</v>
      </c>
      <c r="B66" s="28">
        <f>PROGRAMADO!B66/'Anexo '!$B$20</f>
        <v>0</v>
      </c>
      <c r="C66" s="28">
        <f>PROGRAMADO!C66/'Anexo '!$B$20</f>
        <v>0</v>
      </c>
      <c r="D66" s="28">
        <f>PROGRAMADO!D66/'Anexo '!$B$20</f>
        <v>0</v>
      </c>
      <c r="E66" s="28">
        <f>PROGRAMADO!E66/'Anexo '!$B$20</f>
        <v>0</v>
      </c>
      <c r="F66" s="28">
        <f>PROGRAMADO!F66/'Anexo '!$B$20</f>
        <v>0</v>
      </c>
      <c r="G66" s="28">
        <f>PROGRAMADO!G66/'Anexo '!$B$20</f>
        <v>0</v>
      </c>
      <c r="H66" s="28">
        <f>PROGRAMADO!H66/'Anexo '!$B$20</f>
        <v>0</v>
      </c>
      <c r="I66" s="28">
        <f>PROGRAMADO!I66/'Anexo '!$C$20</f>
        <v>0</v>
      </c>
      <c r="J66" s="28">
        <f>PROGRAMADO!J66/'Anexo '!$C$20</f>
        <v>0</v>
      </c>
      <c r="K66" s="28">
        <f>PROGRAMADO!K66/'Anexo '!$C$20</f>
        <v>0</v>
      </c>
      <c r="L66" s="28">
        <f>PROGRAMADO!L66/'Anexo '!$C$20</f>
        <v>0</v>
      </c>
      <c r="M66" s="28">
        <f>PROGRAMADO!M66/'Anexo '!$C$20</f>
        <v>0</v>
      </c>
      <c r="N66" s="28">
        <f>PROGRAMADO!N66/'Anexo '!$C$20</f>
        <v>0</v>
      </c>
      <c r="O66" s="28">
        <f>PROGRAMADO!O66/'Anexo '!$C$20</f>
        <v>0</v>
      </c>
      <c r="P66" s="28">
        <f>PROGRAMADO!P66/'Anexo '!$D$20</f>
        <v>0</v>
      </c>
      <c r="Q66" s="28">
        <f>PROGRAMADO!Q66/'Anexo '!$D$20</f>
        <v>0</v>
      </c>
      <c r="R66" s="28">
        <f>PROGRAMADO!R66/'Anexo '!$D$20</f>
        <v>0</v>
      </c>
      <c r="S66" s="28">
        <f>PROGRAMADO!S66/'Anexo '!$D$20</f>
        <v>0</v>
      </c>
      <c r="T66" s="28">
        <f>PROGRAMADO!T66/'Anexo '!$D$20</f>
        <v>0</v>
      </c>
      <c r="U66" s="28">
        <f>PROGRAMADO!U66/'Anexo '!$D$20</f>
        <v>0</v>
      </c>
      <c r="V66" s="28">
        <f>PROGRAMADO!V66/'Anexo '!$D$20</f>
        <v>0</v>
      </c>
      <c r="W66" s="28">
        <f>PROGRAMADO!W66/'Anexo '!$E$13</f>
        <v>0</v>
      </c>
      <c r="X66" s="28">
        <f>PROGRAMADO!X66/'Anexo '!$E$13</f>
        <v>0</v>
      </c>
      <c r="Y66" s="28">
        <f>PROGRAMADO!Y66/'Anexo '!$E$13</f>
        <v>0</v>
      </c>
      <c r="Z66" s="28">
        <f>PROGRAMADO!Z66/'Anexo '!$E$13</f>
        <v>0</v>
      </c>
      <c r="AA66" s="28">
        <f>PROGRAMADO!AA66/'Anexo '!$E$13</f>
        <v>0</v>
      </c>
      <c r="AB66" s="28">
        <f>PROGRAMADO!AB66/'Anexo '!$E$13</f>
        <v>0</v>
      </c>
      <c r="AC66" s="28">
        <f>PROGRAMADO!AC66/'Anexo '!$E$13</f>
        <v>0</v>
      </c>
      <c r="AD66" s="28">
        <f>PROGRAMADO!AD66/'Anexo '!$F$20</f>
        <v>0</v>
      </c>
      <c r="AE66" s="28">
        <f>PROGRAMADO!AE66/'Anexo '!$F$20</f>
        <v>0</v>
      </c>
      <c r="AF66" s="28">
        <f>PROGRAMADO!AF66/'Anexo '!$F$20</f>
        <v>0</v>
      </c>
      <c r="AG66" s="28">
        <f>PROGRAMADO!AG66/'Anexo '!$F$20</f>
        <v>0</v>
      </c>
      <c r="AH66" s="28">
        <f>PROGRAMADO!AH66/'Anexo '!$F$20</f>
        <v>3128977.0000000005</v>
      </c>
      <c r="AI66" s="28">
        <f>PROGRAMADO!AI66/'Anexo '!$F$20</f>
        <v>3128977.0000000005</v>
      </c>
      <c r="AJ66" s="28">
        <f>PROGRAMADO!AJ66/'Anexo '!$F$20</f>
        <v>3128977.0000000005</v>
      </c>
      <c r="AK66" s="28">
        <f>PROGRAMADO!AK66/'Anexo '!$G$20</f>
        <v>0</v>
      </c>
      <c r="AL66" s="28">
        <f>PROGRAMADO!AL66/'Anexo '!$G$20</f>
        <v>232640.90853421774</v>
      </c>
      <c r="AM66" s="28">
        <f>PROGRAMADO!AM66/'Anexo '!$G$20</f>
        <v>232640.90853421774</v>
      </c>
      <c r="AN66" s="28">
        <f>PROGRAMADO!AN66/'Anexo '!$G$20</f>
        <v>357201.70206655347</v>
      </c>
      <c r="AO66" s="28">
        <f>PROGRAMADO!AO66/'Anexo '!$G$20</f>
        <v>33260327.285500772</v>
      </c>
      <c r="AP66" s="28">
        <f>PROGRAMADO!AP66/'Anexo '!$G$20</f>
        <v>33617528.987567328</v>
      </c>
      <c r="AQ66" s="28">
        <f>PROGRAMADO!AQ66/'Anexo '!$G$20</f>
        <v>33850169.896101542</v>
      </c>
      <c r="AR66" s="28">
        <f>PROGRAMADO!AR66/'Anexo '!$H$20</f>
        <v>0</v>
      </c>
      <c r="AS66" s="28">
        <f>PROGRAMADO!AS66/'Anexo '!$H$20</f>
        <v>0</v>
      </c>
      <c r="AT66" s="28">
        <f>PROGRAMADO!AT66/'Anexo '!$H$20</f>
        <v>0</v>
      </c>
      <c r="AU66" s="28">
        <f>PROGRAMADO!AU66/'Anexo '!$H$20</f>
        <v>0</v>
      </c>
      <c r="AV66" s="28">
        <f>PROGRAMADO!AV66/'Anexo '!$H$20</f>
        <v>0</v>
      </c>
      <c r="AW66" s="28">
        <f>PROGRAMADO!AW66/'Anexo '!$H$20</f>
        <v>0</v>
      </c>
      <c r="AX66" s="28">
        <f>PROGRAMADO!AX66/'Anexo '!$H$20</f>
        <v>0</v>
      </c>
      <c r="AY66" s="28">
        <f>PROGRAMADO!AY66/'Anexo '!$I$20</f>
        <v>0</v>
      </c>
      <c r="AZ66" s="28">
        <f>PROGRAMADO!AZ66/'Anexo '!$I$20</f>
        <v>0</v>
      </c>
      <c r="BA66" s="28">
        <f>PROGRAMADO!BA66/'Anexo '!$I$20</f>
        <v>0</v>
      </c>
      <c r="BB66" s="28">
        <f>PROGRAMADO!BB66/'Anexo '!$I$20</f>
        <v>0</v>
      </c>
      <c r="BC66" s="28">
        <f>PROGRAMADO!BC66/'Anexo '!$I$20</f>
        <v>0</v>
      </c>
      <c r="BD66" s="28">
        <f>PROGRAMADO!BD66/'Anexo '!$I$20</f>
        <v>0</v>
      </c>
      <c r="BE66" s="28">
        <f>PROGRAMADO!BE66/'Anexo '!$I$20</f>
        <v>0</v>
      </c>
      <c r="BF66" s="28">
        <f>PROGRAMADO!BF66/'Anexo '!$J$20</f>
        <v>0</v>
      </c>
      <c r="BG66" s="28">
        <f>PROGRAMADO!BG66/'Anexo '!$J$20</f>
        <v>0</v>
      </c>
      <c r="BH66" s="28">
        <f>PROGRAMADO!BH66/'Anexo '!$J$20</f>
        <v>0</v>
      </c>
      <c r="BI66" s="28">
        <f>PROGRAMADO!BI66/'Anexo '!$J$20</f>
        <v>0</v>
      </c>
      <c r="BJ66" s="28">
        <f>PROGRAMADO!BJ66/'Anexo '!$J$20</f>
        <v>0</v>
      </c>
      <c r="BK66" s="28">
        <f>PROGRAMADO!BK66/'Anexo '!$J$20</f>
        <v>0</v>
      </c>
      <c r="BL66" s="28">
        <f>PROGRAMADO!BL66/'Anexo '!$J$20</f>
        <v>0</v>
      </c>
      <c r="BM66" s="28">
        <f>PROGRAMADO!BM66/'Anexo '!$K$20</f>
        <v>0</v>
      </c>
      <c r="BN66" s="28">
        <f>PROGRAMADO!BN66/'Anexo '!$K$20</f>
        <v>0</v>
      </c>
      <c r="BO66" s="28">
        <f>PROGRAMADO!BO66/'Anexo '!$K$20</f>
        <v>0</v>
      </c>
      <c r="BP66" s="28">
        <f>PROGRAMADO!BP66/'Anexo '!$K$20</f>
        <v>0</v>
      </c>
      <c r="BQ66" s="28">
        <f>PROGRAMADO!BQ66/'Anexo '!$K$20</f>
        <v>0</v>
      </c>
      <c r="BR66" s="28">
        <f>PROGRAMADO!BR66/'Anexo '!$K$20</f>
        <v>0</v>
      </c>
      <c r="BS66" s="28">
        <f>PROGRAMADO!BS66/'Anexo '!$K$20</f>
        <v>0</v>
      </c>
      <c r="BT66" s="28">
        <f>PROGRAMADO!BT66/'Anexo '!$L$20</f>
        <v>0</v>
      </c>
      <c r="BU66" s="28">
        <f>PROGRAMADO!BU66/'Anexo '!$L$20</f>
        <v>0</v>
      </c>
      <c r="BV66" s="28">
        <f>PROGRAMADO!BV66/'Anexo '!$L$20</f>
        <v>0</v>
      </c>
      <c r="BW66" s="28">
        <f>PROGRAMADO!BW66/'Anexo '!$L$20</f>
        <v>0</v>
      </c>
      <c r="BX66" s="28">
        <f>PROGRAMADO!BX66/'Anexo '!$L$20</f>
        <v>0</v>
      </c>
      <c r="BY66" s="28">
        <f>PROGRAMADO!BY66/'Anexo '!$L$20</f>
        <v>0</v>
      </c>
      <c r="BZ66" s="28">
        <f>PROGRAMADO!BZ66/'Anexo '!$L$20</f>
        <v>0</v>
      </c>
      <c r="CA66" s="28">
        <f>PROGRAMADO!CA66/'Anexo '!$L$20</f>
        <v>0</v>
      </c>
      <c r="CB66" s="28">
        <f>PROGRAMADO!CB66/'Anexo '!$M$20</f>
        <v>0</v>
      </c>
      <c r="CC66" s="28">
        <f>PROGRAMADO!CC66/'Anexo '!$M$20</f>
        <v>0</v>
      </c>
      <c r="CD66" s="28">
        <f>PROGRAMADO!CD66/'Anexo '!$M$20</f>
        <v>0</v>
      </c>
      <c r="CE66" s="28">
        <f>PROGRAMADO!CE66/'Anexo '!$M$20</f>
        <v>0</v>
      </c>
      <c r="CF66" s="28">
        <f>PROGRAMADO!CF66/'Anexo '!$M$20</f>
        <v>0</v>
      </c>
      <c r="CG66" s="28">
        <f>PROGRAMADO!CG66/'Anexo '!$M$20</f>
        <v>0</v>
      </c>
      <c r="CH66" s="28">
        <f>PROGRAMADO!CH66/'Anexo '!$M$20</f>
        <v>0</v>
      </c>
      <c r="CI66" s="29">
        <f>PROGRAMADO!CI66/'Anexo '!$M$20</f>
        <v>0</v>
      </c>
    </row>
    <row r="67" spans="1:87" x14ac:dyDescent="0.25">
      <c r="A67" s="23" t="s">
        <v>106</v>
      </c>
      <c r="B67" s="28">
        <f>PROGRAMADO!B67/'Anexo '!$B$20</f>
        <v>0</v>
      </c>
      <c r="C67" s="28">
        <f>PROGRAMADO!C67/'Anexo '!$B$20</f>
        <v>0</v>
      </c>
      <c r="D67" s="28">
        <f>PROGRAMADO!D67/'Anexo '!$B$20</f>
        <v>0</v>
      </c>
      <c r="E67" s="28">
        <f>PROGRAMADO!E67/'Anexo '!$B$20</f>
        <v>0</v>
      </c>
      <c r="F67" s="28">
        <f>PROGRAMADO!F67/'Anexo '!$B$20</f>
        <v>0</v>
      </c>
      <c r="G67" s="28">
        <f>PROGRAMADO!G67/'Anexo '!$B$20</f>
        <v>0</v>
      </c>
      <c r="H67" s="28">
        <f>PROGRAMADO!H67/'Anexo '!$B$20</f>
        <v>0</v>
      </c>
      <c r="I67" s="28">
        <f>PROGRAMADO!I67/'Anexo '!$C$20</f>
        <v>0</v>
      </c>
      <c r="J67" s="28">
        <f>PROGRAMADO!J67/'Anexo '!$C$20</f>
        <v>0</v>
      </c>
      <c r="K67" s="28">
        <f>PROGRAMADO!K67/'Anexo '!$C$20</f>
        <v>0</v>
      </c>
      <c r="L67" s="28">
        <f>PROGRAMADO!L67/'Anexo '!$C$20</f>
        <v>0</v>
      </c>
      <c r="M67" s="28">
        <f>PROGRAMADO!M67/'Anexo '!$C$20</f>
        <v>0</v>
      </c>
      <c r="N67" s="28">
        <f>PROGRAMADO!N67/'Anexo '!$C$20</f>
        <v>0</v>
      </c>
      <c r="O67" s="28">
        <f>PROGRAMADO!O67/'Anexo '!$C$20</f>
        <v>0</v>
      </c>
      <c r="P67" s="28">
        <f>PROGRAMADO!P67/'Anexo '!$D$20</f>
        <v>0</v>
      </c>
      <c r="Q67" s="28">
        <f>PROGRAMADO!Q67/'Anexo '!$D$20</f>
        <v>0</v>
      </c>
      <c r="R67" s="28">
        <f>PROGRAMADO!R67/'Anexo '!$D$20</f>
        <v>0</v>
      </c>
      <c r="S67" s="28">
        <f>PROGRAMADO!S67/'Anexo '!$D$20</f>
        <v>0</v>
      </c>
      <c r="T67" s="28">
        <f>PROGRAMADO!T67/'Anexo '!$D$20</f>
        <v>0</v>
      </c>
      <c r="U67" s="28">
        <f>PROGRAMADO!U67/'Anexo '!$D$20</f>
        <v>0</v>
      </c>
      <c r="V67" s="28">
        <f>PROGRAMADO!V67/'Anexo '!$D$20</f>
        <v>0</v>
      </c>
      <c r="W67" s="28">
        <f>PROGRAMADO!W67/'Anexo '!$E$13</f>
        <v>0</v>
      </c>
      <c r="X67" s="28">
        <f>PROGRAMADO!X67/'Anexo '!$E$13</f>
        <v>0</v>
      </c>
      <c r="Y67" s="28">
        <f>PROGRAMADO!Y67/'Anexo '!$E$13</f>
        <v>0</v>
      </c>
      <c r="Z67" s="28">
        <f>PROGRAMADO!Z67/'Anexo '!$E$13</f>
        <v>0</v>
      </c>
      <c r="AA67" s="28">
        <f>PROGRAMADO!AA67/'Anexo '!$E$13</f>
        <v>0</v>
      </c>
      <c r="AB67" s="28">
        <f>PROGRAMADO!AB67/'Anexo '!$E$13</f>
        <v>0</v>
      </c>
      <c r="AC67" s="28">
        <f>PROGRAMADO!AC67/'Anexo '!$E$13</f>
        <v>0</v>
      </c>
      <c r="AD67" s="28">
        <f>PROGRAMADO!AD67/'Anexo '!$F$20</f>
        <v>0</v>
      </c>
      <c r="AE67" s="28">
        <f>PROGRAMADO!AE67/'Anexo '!$F$20</f>
        <v>0</v>
      </c>
      <c r="AF67" s="28">
        <f>PROGRAMADO!AF67/'Anexo '!$F$20</f>
        <v>0</v>
      </c>
      <c r="AG67" s="28">
        <f>PROGRAMADO!AG67/'Anexo '!$F$20</f>
        <v>0</v>
      </c>
      <c r="AH67" s="28">
        <f>PROGRAMADO!AH67/'Anexo '!$F$20</f>
        <v>2296460.0000000005</v>
      </c>
      <c r="AI67" s="28">
        <f>PROGRAMADO!AI67/'Anexo '!$F$20</f>
        <v>2296460.0000000005</v>
      </c>
      <c r="AJ67" s="28">
        <f>PROGRAMADO!AJ67/'Anexo '!$F$20</f>
        <v>2296460.0000000005</v>
      </c>
      <c r="AK67" s="28">
        <f>PROGRAMADO!AK67/'Anexo '!$G$20</f>
        <v>0</v>
      </c>
      <c r="AL67" s="28">
        <f>PROGRAMADO!AL67/'Anexo '!$G$20</f>
        <v>887988.23126502347</v>
      </c>
      <c r="AM67" s="28">
        <f>PROGRAMADO!AM67/'Anexo '!$G$20</f>
        <v>887988.23126502347</v>
      </c>
      <c r="AN67" s="28">
        <f>PROGRAMADO!AN67/'Anexo '!$G$20</f>
        <v>0</v>
      </c>
      <c r="AO67" s="28">
        <f>PROGRAMADO!AO67/'Anexo '!$G$20</f>
        <v>8011087.0228396012</v>
      </c>
      <c r="AP67" s="28">
        <f>PROGRAMADO!AP67/'Anexo '!$G$20</f>
        <v>8011087.0228396012</v>
      </c>
      <c r="AQ67" s="28">
        <f>PROGRAMADO!AQ67/'Anexo '!$G$20</f>
        <v>8899075.2541046254</v>
      </c>
      <c r="AR67" s="28">
        <f>PROGRAMADO!AR67/'Anexo '!$H$20</f>
        <v>0</v>
      </c>
      <c r="AS67" s="28">
        <f>PROGRAMADO!AS67/'Anexo '!$H$20</f>
        <v>50258.751362146817</v>
      </c>
      <c r="AT67" s="28">
        <f>PROGRAMADO!AT67/'Anexo '!$H$20</f>
        <v>50258.751362146817</v>
      </c>
      <c r="AU67" s="28">
        <f>PROGRAMADO!AU67/'Anexo '!$H$20</f>
        <v>0</v>
      </c>
      <c r="AV67" s="28">
        <f>PROGRAMADO!AV67/'Anexo '!$H$20</f>
        <v>9774705.3821887467</v>
      </c>
      <c r="AW67" s="28">
        <f>PROGRAMADO!AW67/'Anexo '!$H$20</f>
        <v>9774705.3821887467</v>
      </c>
      <c r="AX67" s="28">
        <f>PROGRAMADO!AX67/'Anexo '!$H$20</f>
        <v>9824964.1335508935</v>
      </c>
      <c r="AY67" s="28">
        <f>PROGRAMADO!AY67/'Anexo '!$I$20</f>
        <v>0</v>
      </c>
      <c r="AZ67" s="28">
        <f>PROGRAMADO!AZ67/'Anexo '!$I$20</f>
        <v>51646.490967290505</v>
      </c>
      <c r="BA67" s="28">
        <f>PROGRAMADO!BA67/'Anexo '!$I$20</f>
        <v>51646.490967290505</v>
      </c>
      <c r="BB67" s="28">
        <f>PROGRAMADO!BB67/'Anexo '!$I$20</f>
        <v>0</v>
      </c>
      <c r="BC67" s="28">
        <f>PROGRAMADO!BC67/'Anexo '!$I$20</f>
        <v>11175961.979807125</v>
      </c>
      <c r="BD67" s="28">
        <f>PROGRAMADO!BD67/'Anexo '!$I$20</f>
        <v>11175961.979807125</v>
      </c>
      <c r="BE67" s="28">
        <f>PROGRAMADO!BE67/'Anexo '!$I$20</f>
        <v>11227608.470774416</v>
      </c>
      <c r="BF67" s="28">
        <f>PROGRAMADO!BF67/'Anexo '!$J$20</f>
        <v>0</v>
      </c>
      <c r="BG67" s="28">
        <f>PROGRAMADO!BG67/'Anexo '!$J$20</f>
        <v>0</v>
      </c>
      <c r="BH67" s="28">
        <f>PROGRAMADO!BH67/'Anexo '!$J$20</f>
        <v>0</v>
      </c>
      <c r="BI67" s="28">
        <f>PROGRAMADO!BI67/'Anexo '!$J$20</f>
        <v>0</v>
      </c>
      <c r="BJ67" s="28">
        <f>PROGRAMADO!BJ67/'Anexo '!$J$20</f>
        <v>0</v>
      </c>
      <c r="BK67" s="28">
        <f>PROGRAMADO!BK67/'Anexo '!$J$20</f>
        <v>0</v>
      </c>
      <c r="BL67" s="28">
        <f>PROGRAMADO!BL67/'Anexo '!$J$20</f>
        <v>0</v>
      </c>
      <c r="BM67" s="28">
        <f>PROGRAMADO!BM67/'Anexo '!$K$20</f>
        <v>0</v>
      </c>
      <c r="BN67" s="28">
        <f>PROGRAMADO!BN67/'Anexo '!$K$20</f>
        <v>0</v>
      </c>
      <c r="BO67" s="28">
        <f>PROGRAMADO!BO67/'Anexo '!$K$20</f>
        <v>0</v>
      </c>
      <c r="BP67" s="28">
        <f>PROGRAMADO!BP67/'Anexo '!$K$20</f>
        <v>0</v>
      </c>
      <c r="BQ67" s="28">
        <f>PROGRAMADO!BQ67/'Anexo '!$K$20</f>
        <v>0</v>
      </c>
      <c r="BR67" s="28">
        <f>PROGRAMADO!BR67/'Anexo '!$K$20</f>
        <v>0</v>
      </c>
      <c r="BS67" s="28">
        <f>PROGRAMADO!BS67/'Anexo '!$K$20</f>
        <v>0</v>
      </c>
      <c r="BT67" s="28">
        <f>PROGRAMADO!BT67/'Anexo '!$L$20</f>
        <v>0</v>
      </c>
      <c r="BU67" s="28">
        <f>PROGRAMADO!BU67/'Anexo '!$L$20</f>
        <v>0</v>
      </c>
      <c r="BV67" s="28">
        <f>PROGRAMADO!BV67/'Anexo '!$L$20</f>
        <v>0</v>
      </c>
      <c r="BW67" s="28">
        <f>PROGRAMADO!BW67/'Anexo '!$L$20</f>
        <v>0</v>
      </c>
      <c r="BX67" s="28">
        <f>PROGRAMADO!BX67/'Anexo '!$L$20</f>
        <v>0</v>
      </c>
      <c r="BY67" s="28">
        <f>PROGRAMADO!BY67/'Anexo '!$L$20</f>
        <v>0</v>
      </c>
      <c r="BZ67" s="28">
        <f>PROGRAMADO!BZ67/'Anexo '!$L$20</f>
        <v>0</v>
      </c>
      <c r="CA67" s="28">
        <f>PROGRAMADO!CA67/'Anexo '!$L$20</f>
        <v>0</v>
      </c>
      <c r="CB67" s="28">
        <f>PROGRAMADO!CB67/'Anexo '!$M$20</f>
        <v>0</v>
      </c>
      <c r="CC67" s="28">
        <f>PROGRAMADO!CC67/'Anexo '!$M$20</f>
        <v>0</v>
      </c>
      <c r="CD67" s="28">
        <f>PROGRAMADO!CD67/'Anexo '!$M$20</f>
        <v>0</v>
      </c>
      <c r="CE67" s="28">
        <f>PROGRAMADO!CE67/'Anexo '!$M$20</f>
        <v>0</v>
      </c>
      <c r="CF67" s="28">
        <f>PROGRAMADO!CF67/'Anexo '!$M$20</f>
        <v>0</v>
      </c>
      <c r="CG67" s="28">
        <f>PROGRAMADO!CG67/'Anexo '!$M$20</f>
        <v>0</v>
      </c>
      <c r="CH67" s="28">
        <f>PROGRAMADO!CH67/'Anexo '!$M$20</f>
        <v>0</v>
      </c>
      <c r="CI67" s="29">
        <f>PROGRAMADO!CI67/'Anexo '!$M$20</f>
        <v>0</v>
      </c>
    </row>
    <row r="68" spans="1:87" x14ac:dyDescent="0.25">
      <c r="A68" s="23" t="s">
        <v>107</v>
      </c>
      <c r="B68" s="28">
        <f>PROGRAMADO!B68/'Anexo '!$B$20</f>
        <v>0</v>
      </c>
      <c r="C68" s="28">
        <f>PROGRAMADO!C68/'Anexo '!$B$20</f>
        <v>0</v>
      </c>
      <c r="D68" s="28">
        <f>PROGRAMADO!D68/'Anexo '!$B$20</f>
        <v>0</v>
      </c>
      <c r="E68" s="28">
        <f>PROGRAMADO!E68/'Anexo '!$B$20</f>
        <v>0</v>
      </c>
      <c r="F68" s="28">
        <f>PROGRAMADO!F68/'Anexo '!$B$20</f>
        <v>0</v>
      </c>
      <c r="G68" s="28">
        <f>PROGRAMADO!G68/'Anexo '!$B$20</f>
        <v>0</v>
      </c>
      <c r="H68" s="28">
        <f>PROGRAMADO!H68/'Anexo '!$B$20</f>
        <v>0</v>
      </c>
      <c r="I68" s="28">
        <f>PROGRAMADO!I68/'Anexo '!$C$20</f>
        <v>0</v>
      </c>
      <c r="J68" s="28">
        <f>PROGRAMADO!J68/'Anexo '!$C$20</f>
        <v>0</v>
      </c>
      <c r="K68" s="28">
        <f>PROGRAMADO!K68/'Anexo '!$C$20</f>
        <v>0</v>
      </c>
      <c r="L68" s="28">
        <f>PROGRAMADO!L68/'Anexo '!$C$20</f>
        <v>0</v>
      </c>
      <c r="M68" s="28">
        <f>PROGRAMADO!M68/'Anexo '!$C$20</f>
        <v>0</v>
      </c>
      <c r="N68" s="28">
        <f>PROGRAMADO!N68/'Anexo '!$C$20</f>
        <v>0</v>
      </c>
      <c r="O68" s="28">
        <f>PROGRAMADO!O68/'Anexo '!$C$20</f>
        <v>0</v>
      </c>
      <c r="P68" s="28">
        <f>PROGRAMADO!P68/'Anexo '!$D$20</f>
        <v>0</v>
      </c>
      <c r="Q68" s="28">
        <f>PROGRAMADO!Q68/'Anexo '!$D$20</f>
        <v>0</v>
      </c>
      <c r="R68" s="28">
        <f>PROGRAMADO!R68/'Anexo '!$D$20</f>
        <v>0</v>
      </c>
      <c r="S68" s="28">
        <f>PROGRAMADO!S68/'Anexo '!$D$20</f>
        <v>0</v>
      </c>
      <c r="T68" s="28">
        <f>PROGRAMADO!T68/'Anexo '!$D$20</f>
        <v>0</v>
      </c>
      <c r="U68" s="28">
        <f>PROGRAMADO!U68/'Anexo '!$D$20</f>
        <v>0</v>
      </c>
      <c r="V68" s="28">
        <f>PROGRAMADO!V68/'Anexo '!$D$20</f>
        <v>0</v>
      </c>
      <c r="W68" s="28">
        <f>PROGRAMADO!W68/'Anexo '!$E$13</f>
        <v>0</v>
      </c>
      <c r="X68" s="28">
        <f>PROGRAMADO!X68/'Anexo '!$E$13</f>
        <v>0</v>
      </c>
      <c r="Y68" s="28">
        <f>PROGRAMADO!Y68/'Anexo '!$E$13</f>
        <v>0</v>
      </c>
      <c r="Z68" s="28">
        <f>PROGRAMADO!Z68/'Anexo '!$E$13</f>
        <v>0</v>
      </c>
      <c r="AA68" s="28">
        <f>PROGRAMADO!AA68/'Anexo '!$E$13</f>
        <v>0</v>
      </c>
      <c r="AB68" s="28">
        <f>PROGRAMADO!AB68/'Anexo '!$E$13</f>
        <v>0</v>
      </c>
      <c r="AC68" s="28">
        <f>PROGRAMADO!AC68/'Anexo '!$E$13</f>
        <v>0</v>
      </c>
      <c r="AD68" s="28">
        <f>PROGRAMADO!AD68/'Anexo '!$F$20</f>
        <v>0</v>
      </c>
      <c r="AE68" s="28">
        <f>PROGRAMADO!AE68/'Anexo '!$F$20</f>
        <v>0</v>
      </c>
      <c r="AF68" s="28">
        <f>PROGRAMADO!AF68/'Anexo '!$F$20</f>
        <v>0</v>
      </c>
      <c r="AG68" s="28">
        <f>PROGRAMADO!AG68/'Anexo '!$F$20</f>
        <v>10147500.000000002</v>
      </c>
      <c r="AH68" s="28">
        <f>PROGRAMADO!AH68/'Anexo '!$F$20</f>
        <v>0</v>
      </c>
      <c r="AI68" s="28">
        <f>PROGRAMADO!AI68/'Anexo '!$F$20</f>
        <v>10147500.000000002</v>
      </c>
      <c r="AJ68" s="28">
        <f>PROGRAMADO!AJ68/'Anexo '!$F$20</f>
        <v>10147500.000000002</v>
      </c>
      <c r="AK68" s="28">
        <f>PROGRAMADO!AK68/'Anexo '!$G$20</f>
        <v>0</v>
      </c>
      <c r="AL68" s="28">
        <f>PROGRAMADO!AL68/'Anexo '!$G$20</f>
        <v>0</v>
      </c>
      <c r="AM68" s="28">
        <f>PROGRAMADO!AM68/'Anexo '!$G$20</f>
        <v>0</v>
      </c>
      <c r="AN68" s="28">
        <f>PROGRAMADO!AN68/'Anexo '!$G$20</f>
        <v>15200072.428363977</v>
      </c>
      <c r="AO68" s="28">
        <f>PROGRAMADO!AO68/'Anexo '!$G$20</f>
        <v>0</v>
      </c>
      <c r="AP68" s="28">
        <f>PROGRAMADO!AP68/'Anexo '!$G$20</f>
        <v>15200072.428363977</v>
      </c>
      <c r="AQ68" s="28">
        <f>PROGRAMADO!AQ68/'Anexo '!$G$20</f>
        <v>15200072.428363977</v>
      </c>
      <c r="AR68" s="28">
        <f>PROGRAMADO!AR68/'Anexo '!$H$20</f>
        <v>0</v>
      </c>
      <c r="AS68" s="28">
        <f>PROGRAMADO!AS68/'Anexo '!$H$20</f>
        <v>0</v>
      </c>
      <c r="AT68" s="28">
        <f>PROGRAMADO!AT68/'Anexo '!$H$20</f>
        <v>0</v>
      </c>
      <c r="AU68" s="28">
        <f>PROGRAMADO!AU68/'Anexo '!$H$20</f>
        <v>10350771.708433131</v>
      </c>
      <c r="AV68" s="28">
        <f>PROGRAMADO!AV68/'Anexo '!$H$20</f>
        <v>0</v>
      </c>
      <c r="AW68" s="28">
        <f>PROGRAMADO!AW68/'Anexo '!$H$20</f>
        <v>10350771.708433131</v>
      </c>
      <c r="AX68" s="28">
        <f>PROGRAMADO!AX68/'Anexo '!$H$20</f>
        <v>10350771.708433131</v>
      </c>
      <c r="AY68" s="28">
        <f>PROGRAMADO!AY68/'Anexo '!$I$20</f>
        <v>0</v>
      </c>
      <c r="AZ68" s="28">
        <f>PROGRAMADO!AZ68/'Anexo '!$I$20</f>
        <v>0</v>
      </c>
      <c r="BA68" s="28">
        <f>PROGRAMADO!BA68/'Anexo '!$I$20</f>
        <v>0</v>
      </c>
      <c r="BB68" s="28">
        <f>PROGRAMADO!BB68/'Anexo '!$I$20</f>
        <v>21166594.658725619</v>
      </c>
      <c r="BC68" s="28">
        <f>PROGRAMADO!BC68/'Anexo '!$I$20</f>
        <v>0</v>
      </c>
      <c r="BD68" s="28">
        <f>PROGRAMADO!BD68/'Anexo '!$I$20</f>
        <v>21166594.658725619</v>
      </c>
      <c r="BE68" s="28">
        <f>PROGRAMADO!BE68/'Anexo '!$I$20</f>
        <v>21166594.658725619</v>
      </c>
      <c r="BF68" s="28">
        <f>PROGRAMADO!BF68/'Anexo '!$J$20</f>
        <v>0</v>
      </c>
      <c r="BG68" s="28">
        <f>PROGRAMADO!BG68/'Anexo '!$J$20</f>
        <v>0</v>
      </c>
      <c r="BH68" s="28">
        <f>PROGRAMADO!BH68/'Anexo '!$J$20</f>
        <v>0</v>
      </c>
      <c r="BI68" s="28">
        <f>PROGRAMADO!BI68/'Anexo '!$J$20</f>
        <v>0</v>
      </c>
      <c r="BJ68" s="28">
        <f>PROGRAMADO!BJ68/'Anexo '!$J$20</f>
        <v>0</v>
      </c>
      <c r="BK68" s="28">
        <f>PROGRAMADO!BK68/'Anexo '!$J$20</f>
        <v>0</v>
      </c>
      <c r="BL68" s="28">
        <f>PROGRAMADO!BL68/'Anexo '!$J$20</f>
        <v>0</v>
      </c>
      <c r="BM68" s="28">
        <f>PROGRAMADO!BM68/'Anexo '!$K$20</f>
        <v>0</v>
      </c>
      <c r="BN68" s="28">
        <f>PROGRAMADO!BN68/'Anexo '!$K$20</f>
        <v>0</v>
      </c>
      <c r="BO68" s="28">
        <f>PROGRAMADO!BO68/'Anexo '!$K$20</f>
        <v>0</v>
      </c>
      <c r="BP68" s="28">
        <f>PROGRAMADO!BP68/'Anexo '!$K$20</f>
        <v>0</v>
      </c>
      <c r="BQ68" s="28">
        <f>PROGRAMADO!BQ68/'Anexo '!$K$20</f>
        <v>0</v>
      </c>
      <c r="BR68" s="28">
        <f>PROGRAMADO!BR68/'Anexo '!$K$20</f>
        <v>0</v>
      </c>
      <c r="BS68" s="28">
        <f>PROGRAMADO!BS68/'Anexo '!$K$20</f>
        <v>0</v>
      </c>
      <c r="BT68" s="28">
        <f>PROGRAMADO!BT68/'Anexo '!$L$20</f>
        <v>0</v>
      </c>
      <c r="BU68" s="28">
        <f>PROGRAMADO!BU68/'Anexo '!$L$20</f>
        <v>0</v>
      </c>
      <c r="BV68" s="28">
        <f>PROGRAMADO!BV68/'Anexo '!$L$20</f>
        <v>0</v>
      </c>
      <c r="BW68" s="28">
        <f>PROGRAMADO!BW68/'Anexo '!$L$20</f>
        <v>0</v>
      </c>
      <c r="BX68" s="28">
        <f>PROGRAMADO!BX68/'Anexo '!$L$20</f>
        <v>0</v>
      </c>
      <c r="BY68" s="28">
        <f>PROGRAMADO!BY68/'Anexo '!$L$20</f>
        <v>0</v>
      </c>
      <c r="BZ68" s="28">
        <f>PROGRAMADO!BZ68/'Anexo '!$L$20</f>
        <v>0</v>
      </c>
      <c r="CA68" s="28">
        <f>PROGRAMADO!CA68/'Anexo '!$L$20</f>
        <v>0</v>
      </c>
      <c r="CB68" s="28">
        <f>PROGRAMADO!CB68/'Anexo '!$M$20</f>
        <v>0</v>
      </c>
      <c r="CC68" s="28">
        <f>PROGRAMADO!CC68/'Anexo '!$M$20</f>
        <v>0</v>
      </c>
      <c r="CD68" s="28">
        <f>PROGRAMADO!CD68/'Anexo '!$M$20</f>
        <v>0</v>
      </c>
      <c r="CE68" s="28">
        <f>PROGRAMADO!CE68/'Anexo '!$M$20</f>
        <v>0</v>
      </c>
      <c r="CF68" s="28">
        <f>PROGRAMADO!CF68/'Anexo '!$M$20</f>
        <v>0</v>
      </c>
      <c r="CG68" s="28">
        <f>PROGRAMADO!CG68/'Anexo '!$M$20</f>
        <v>0</v>
      </c>
      <c r="CH68" s="28">
        <f>PROGRAMADO!CH68/'Anexo '!$M$20</f>
        <v>0</v>
      </c>
      <c r="CI68" s="29">
        <f>PROGRAMADO!CI68/'Anexo '!$M$20</f>
        <v>0</v>
      </c>
    </row>
    <row r="69" spans="1:87" x14ac:dyDescent="0.25">
      <c r="A69" s="23" t="s">
        <v>100</v>
      </c>
      <c r="B69" s="28">
        <f>PROGRAMADO!B69/'Anexo '!$B$20</f>
        <v>0</v>
      </c>
      <c r="C69" s="28">
        <f>PROGRAMADO!C69/'Anexo '!$B$20</f>
        <v>0</v>
      </c>
      <c r="D69" s="28">
        <f>PROGRAMADO!D69/'Anexo '!$B$20</f>
        <v>0</v>
      </c>
      <c r="E69" s="28">
        <f>PROGRAMADO!E69/'Anexo '!$B$20</f>
        <v>0</v>
      </c>
      <c r="F69" s="28">
        <f>PROGRAMADO!F69/'Anexo '!$B$20</f>
        <v>0</v>
      </c>
      <c r="G69" s="28">
        <f>PROGRAMADO!G69/'Anexo '!$B$20</f>
        <v>0</v>
      </c>
      <c r="H69" s="28">
        <f>PROGRAMADO!H69/'Anexo '!$B$20</f>
        <v>0</v>
      </c>
      <c r="I69" s="28">
        <f>PROGRAMADO!I69/'Anexo '!$C$20</f>
        <v>0</v>
      </c>
      <c r="J69" s="28">
        <f>PROGRAMADO!J69/'Anexo '!$C$20</f>
        <v>0</v>
      </c>
      <c r="K69" s="28">
        <f>PROGRAMADO!K69/'Anexo '!$C$20</f>
        <v>0</v>
      </c>
      <c r="L69" s="28">
        <f>PROGRAMADO!L69/'Anexo '!$C$20</f>
        <v>0</v>
      </c>
      <c r="M69" s="28">
        <f>PROGRAMADO!M69/'Anexo '!$C$20</f>
        <v>0</v>
      </c>
      <c r="N69" s="28">
        <f>PROGRAMADO!N69/'Anexo '!$C$20</f>
        <v>0</v>
      </c>
      <c r="O69" s="28">
        <f>PROGRAMADO!O69/'Anexo '!$C$20</f>
        <v>0</v>
      </c>
      <c r="P69" s="28">
        <f>PROGRAMADO!P69/'Anexo '!$D$20</f>
        <v>0</v>
      </c>
      <c r="Q69" s="28">
        <f>PROGRAMADO!Q69/'Anexo '!$D$20</f>
        <v>0</v>
      </c>
      <c r="R69" s="28">
        <f>PROGRAMADO!R69/'Anexo '!$D$20</f>
        <v>0</v>
      </c>
      <c r="S69" s="28">
        <f>PROGRAMADO!S69/'Anexo '!$D$20</f>
        <v>0</v>
      </c>
      <c r="T69" s="28">
        <f>PROGRAMADO!T69/'Anexo '!$D$20</f>
        <v>0</v>
      </c>
      <c r="U69" s="28">
        <f>PROGRAMADO!U69/'Anexo '!$D$20</f>
        <v>0</v>
      </c>
      <c r="V69" s="28">
        <f>PROGRAMADO!V69/'Anexo '!$D$20</f>
        <v>0</v>
      </c>
      <c r="W69" s="28">
        <f>PROGRAMADO!W69/'Anexo '!$E$13</f>
        <v>0</v>
      </c>
      <c r="X69" s="28">
        <f>PROGRAMADO!X69/'Anexo '!$E$13</f>
        <v>0</v>
      </c>
      <c r="Y69" s="28">
        <f>PROGRAMADO!Y69/'Anexo '!$E$13</f>
        <v>0</v>
      </c>
      <c r="Z69" s="28">
        <f>PROGRAMADO!Z69/'Anexo '!$E$13</f>
        <v>0</v>
      </c>
      <c r="AA69" s="28">
        <f>PROGRAMADO!AA69/'Anexo '!$E$13</f>
        <v>0</v>
      </c>
      <c r="AB69" s="28">
        <f>PROGRAMADO!AB69/'Anexo '!$E$13</f>
        <v>0</v>
      </c>
      <c r="AC69" s="28">
        <f>PROGRAMADO!AC69/'Anexo '!$E$13</f>
        <v>0</v>
      </c>
      <c r="AD69" s="28">
        <f>PROGRAMADO!AD69/'Anexo '!$F$20</f>
        <v>0</v>
      </c>
      <c r="AE69" s="28">
        <f>PROGRAMADO!AE69/'Anexo '!$F$20</f>
        <v>695151.00000000012</v>
      </c>
      <c r="AF69" s="28">
        <f>PROGRAMADO!AF69/'Anexo '!$F$20</f>
        <v>695151.00000000012</v>
      </c>
      <c r="AG69" s="28">
        <f>PROGRAMADO!AG69/'Anexo '!$F$20</f>
        <v>4387665.0000000009</v>
      </c>
      <c r="AH69" s="28">
        <f>PROGRAMADO!AH69/'Anexo '!$F$20</f>
        <v>16577435.000000006</v>
      </c>
      <c r="AI69" s="28">
        <f>PROGRAMADO!AI69/'Anexo '!$F$20</f>
        <v>20965100.000000004</v>
      </c>
      <c r="AJ69" s="28">
        <f>PROGRAMADO!AJ69/'Anexo '!$F$20</f>
        <v>21660251.000000004</v>
      </c>
      <c r="AK69" s="28">
        <f>PROGRAMADO!AK69/'Anexo '!$G$20</f>
        <v>0</v>
      </c>
      <c r="AL69" s="28">
        <f>PROGRAMADO!AL69/'Anexo '!$G$20</f>
        <v>0</v>
      </c>
      <c r="AM69" s="28">
        <f>PROGRAMADO!AM69/'Anexo '!$G$20</f>
        <v>0</v>
      </c>
      <c r="AN69" s="28">
        <f>PROGRAMADO!AN69/'Anexo '!$G$20</f>
        <v>0</v>
      </c>
      <c r="AO69" s="28">
        <f>PROGRAMADO!AO69/'Anexo '!$G$20</f>
        <v>9868531.1235630456</v>
      </c>
      <c r="AP69" s="28">
        <f>PROGRAMADO!AP69/'Anexo '!$G$20</f>
        <v>9868531.1235630456</v>
      </c>
      <c r="AQ69" s="28">
        <f>PROGRAMADO!AQ69/'Anexo '!$G$20</f>
        <v>9868531.1235630456</v>
      </c>
      <c r="AR69" s="28">
        <f>PROGRAMADO!AR69/'Anexo '!$H$20</f>
        <v>0</v>
      </c>
      <c r="AS69" s="28">
        <f>PROGRAMADO!AS69/'Anexo '!$H$20</f>
        <v>0</v>
      </c>
      <c r="AT69" s="28">
        <f>PROGRAMADO!AT69/'Anexo '!$H$20</f>
        <v>0</v>
      </c>
      <c r="AU69" s="28">
        <f>PROGRAMADO!AU69/'Anexo '!$H$20</f>
        <v>0</v>
      </c>
      <c r="AV69" s="28">
        <f>PROGRAMADO!AV69/'Anexo '!$H$20</f>
        <v>35683713.467124239</v>
      </c>
      <c r="AW69" s="28">
        <f>PROGRAMADO!AW69/'Anexo '!$H$20</f>
        <v>35683713.467124239</v>
      </c>
      <c r="AX69" s="28">
        <f>PROGRAMADO!AX69/'Anexo '!$H$20</f>
        <v>35683713.467124239</v>
      </c>
      <c r="AY69" s="28">
        <f>PROGRAMADO!AY69/'Anexo '!$I$20</f>
        <v>0</v>
      </c>
      <c r="AZ69" s="28">
        <f>PROGRAMADO!AZ69/'Anexo '!$I$20</f>
        <v>0</v>
      </c>
      <c r="BA69" s="28">
        <f>PROGRAMADO!BA69/'Anexo '!$I$20</f>
        <v>0</v>
      </c>
      <c r="BB69" s="28">
        <f>PROGRAMADO!BB69/'Anexo '!$I$20</f>
        <v>0</v>
      </c>
      <c r="BC69" s="28">
        <f>PROGRAMADO!BC69/'Anexo '!$I$20</f>
        <v>33219742.654379651</v>
      </c>
      <c r="BD69" s="28">
        <f>PROGRAMADO!BD69/'Anexo '!$I$20</f>
        <v>33219742.654379651</v>
      </c>
      <c r="BE69" s="28">
        <f>PROGRAMADO!BE69/'Anexo '!$I$20</f>
        <v>33219742.654379651</v>
      </c>
      <c r="BF69" s="28">
        <f>PROGRAMADO!BF69/'Anexo '!$J$20</f>
        <v>0</v>
      </c>
      <c r="BG69" s="28">
        <f>PROGRAMADO!BG69/'Anexo '!$J$20</f>
        <v>0</v>
      </c>
      <c r="BH69" s="28">
        <f>PROGRAMADO!BH69/'Anexo '!$J$20</f>
        <v>0</v>
      </c>
      <c r="BI69" s="28">
        <f>PROGRAMADO!BI69/'Anexo '!$J$20</f>
        <v>0</v>
      </c>
      <c r="BJ69" s="28">
        <f>PROGRAMADO!BJ69/'Anexo '!$J$20</f>
        <v>42020553.859996073</v>
      </c>
      <c r="BK69" s="28">
        <f>PROGRAMADO!BK69/'Anexo '!$J$20</f>
        <v>42020553.859996073</v>
      </c>
      <c r="BL69" s="28">
        <f>PROGRAMADO!BL69/'Anexo '!$J$20</f>
        <v>42020553.859996073</v>
      </c>
      <c r="BM69" s="28">
        <f>PROGRAMADO!BM69/'Anexo '!$K$20</f>
        <v>0</v>
      </c>
      <c r="BN69" s="28">
        <f>PROGRAMADO!BN69/'Anexo '!$K$20</f>
        <v>0</v>
      </c>
      <c r="BO69" s="28">
        <f>PROGRAMADO!BO69/'Anexo '!$K$20</f>
        <v>0</v>
      </c>
      <c r="BP69" s="28">
        <f>PROGRAMADO!BP69/'Anexo '!$K$20</f>
        <v>0</v>
      </c>
      <c r="BQ69" s="28">
        <f>PROGRAMADO!BQ69/'Anexo '!$K$20</f>
        <v>59016298.407517686</v>
      </c>
      <c r="BR69" s="28">
        <f>PROGRAMADO!BR69/'Anexo '!$K$20</f>
        <v>59016298.407517686</v>
      </c>
      <c r="BS69" s="28">
        <f>PROGRAMADO!BS69/'Anexo '!$K$20</f>
        <v>59016298.407517686</v>
      </c>
      <c r="BT69" s="28">
        <f>PROGRAMADO!BT69/'Anexo '!$L$20</f>
        <v>0</v>
      </c>
      <c r="BU69" s="28">
        <f>PROGRAMADO!BU69/'Anexo '!$L$20</f>
        <v>0</v>
      </c>
      <c r="BV69" s="28">
        <f>PROGRAMADO!BV69/'Anexo '!$L$20</f>
        <v>0</v>
      </c>
      <c r="BW69" s="28">
        <f>PROGRAMADO!BW69/'Anexo '!$L$20</f>
        <v>0</v>
      </c>
      <c r="BX69" s="28">
        <f>PROGRAMADO!BX69/'Anexo '!$L$20</f>
        <v>0</v>
      </c>
      <c r="BY69" s="28">
        <f>PROGRAMADO!BY69/'Anexo '!$L$20</f>
        <v>29279236.096018888</v>
      </c>
      <c r="BZ69" s="28">
        <f>PROGRAMADO!BZ69/'Anexo '!$L$20</f>
        <v>29279236.096018888</v>
      </c>
      <c r="CA69" s="28">
        <f>PROGRAMADO!CA69/'Anexo '!$L$20</f>
        <v>29279236.096018888</v>
      </c>
      <c r="CB69" s="28">
        <f>PROGRAMADO!CB69/'Anexo '!$M$20</f>
        <v>1111744.1496628888</v>
      </c>
      <c r="CC69" s="28">
        <f>PROGRAMADO!CC69/'Anexo '!$M$20</f>
        <v>0</v>
      </c>
      <c r="CD69" s="28">
        <f>PROGRAMADO!CD69/'Anexo '!$M$20</f>
        <v>0</v>
      </c>
      <c r="CE69" s="28">
        <f>PROGRAMADO!CE69/'Anexo '!$M$20</f>
        <v>1111744.1496628888</v>
      </c>
      <c r="CF69" s="28">
        <f>PROGRAMADO!CF69/'Anexo '!$M$20</f>
        <v>1056793.0485968699</v>
      </c>
      <c r="CG69" s="28">
        <f>PROGRAMADO!CG69/'Anexo '!$M$20</f>
        <v>10505677.775440119</v>
      </c>
      <c r="CH69" s="28">
        <f>PROGRAMADO!CH69/'Anexo '!$M$20</f>
        <v>11562470.824036989</v>
      </c>
      <c r="CI69" s="29">
        <f>PROGRAMADO!CI69/'Anexo '!$M$20</f>
        <v>12674214.973699879</v>
      </c>
    </row>
    <row r="70" spans="1:87" x14ac:dyDescent="0.25">
      <c r="A70" s="23" t="s">
        <v>109</v>
      </c>
      <c r="B70" s="28">
        <f>PROGRAMADO!B70/'Anexo '!$B$20</f>
        <v>0</v>
      </c>
      <c r="C70" s="28">
        <f>PROGRAMADO!C70/'Anexo '!$B$20</f>
        <v>0</v>
      </c>
      <c r="D70" s="28">
        <f>PROGRAMADO!D70/'Anexo '!$B$20</f>
        <v>0</v>
      </c>
      <c r="E70" s="28">
        <f>PROGRAMADO!E70/'Anexo '!$B$20</f>
        <v>0</v>
      </c>
      <c r="F70" s="28">
        <f>PROGRAMADO!F70/'Anexo '!$B$20</f>
        <v>0</v>
      </c>
      <c r="G70" s="28">
        <f>PROGRAMADO!G70/'Anexo '!$B$20</f>
        <v>0</v>
      </c>
      <c r="H70" s="28">
        <f>PROGRAMADO!H70/'Anexo '!$B$20</f>
        <v>0</v>
      </c>
      <c r="I70" s="28">
        <f>PROGRAMADO!I70/'Anexo '!$C$20</f>
        <v>0</v>
      </c>
      <c r="J70" s="28">
        <f>PROGRAMADO!J70/'Anexo '!$C$20</f>
        <v>0</v>
      </c>
      <c r="K70" s="28">
        <f>PROGRAMADO!K70/'Anexo '!$C$20</f>
        <v>0</v>
      </c>
      <c r="L70" s="28">
        <f>PROGRAMADO!L70/'Anexo '!$C$20</f>
        <v>0</v>
      </c>
      <c r="M70" s="28">
        <f>PROGRAMADO!M70/'Anexo '!$C$20</f>
        <v>0</v>
      </c>
      <c r="N70" s="28">
        <f>PROGRAMADO!N70/'Anexo '!$C$20</f>
        <v>0</v>
      </c>
      <c r="O70" s="28">
        <f>PROGRAMADO!O70/'Anexo '!$C$20</f>
        <v>0</v>
      </c>
      <c r="P70" s="28">
        <f>PROGRAMADO!P70/'Anexo '!$D$20</f>
        <v>0</v>
      </c>
      <c r="Q70" s="28">
        <f>PROGRAMADO!Q70/'Anexo '!$D$20</f>
        <v>0</v>
      </c>
      <c r="R70" s="28">
        <f>PROGRAMADO!R70/'Anexo '!$D$20</f>
        <v>0</v>
      </c>
      <c r="S70" s="28">
        <f>PROGRAMADO!S70/'Anexo '!$D$20</f>
        <v>0</v>
      </c>
      <c r="T70" s="28">
        <f>PROGRAMADO!T70/'Anexo '!$D$20</f>
        <v>0</v>
      </c>
      <c r="U70" s="28">
        <f>PROGRAMADO!U70/'Anexo '!$D$20</f>
        <v>0</v>
      </c>
      <c r="V70" s="28">
        <f>PROGRAMADO!V70/'Anexo '!$D$20</f>
        <v>0</v>
      </c>
      <c r="W70" s="28">
        <f>PROGRAMADO!W70/'Anexo '!$E$13</f>
        <v>0</v>
      </c>
      <c r="X70" s="28">
        <f>PROGRAMADO!X70/'Anexo '!$E$13</f>
        <v>0</v>
      </c>
      <c r="Y70" s="28">
        <f>PROGRAMADO!Y70/'Anexo '!$E$13</f>
        <v>0</v>
      </c>
      <c r="Z70" s="28">
        <f>PROGRAMADO!Z70/'Anexo '!$E$13</f>
        <v>0</v>
      </c>
      <c r="AA70" s="28">
        <f>PROGRAMADO!AA70/'Anexo '!$E$13</f>
        <v>0</v>
      </c>
      <c r="AB70" s="28">
        <f>PROGRAMADO!AB70/'Anexo '!$E$13</f>
        <v>0</v>
      </c>
      <c r="AC70" s="28">
        <f>PROGRAMADO!AC70/'Anexo '!$E$13</f>
        <v>0</v>
      </c>
      <c r="AD70" s="28">
        <f>PROGRAMADO!AD70/'Anexo '!$F$20</f>
        <v>0</v>
      </c>
      <c r="AE70" s="28">
        <f>PROGRAMADO!AE70/'Anexo '!$F$20</f>
        <v>0</v>
      </c>
      <c r="AF70" s="28">
        <f>PROGRAMADO!AF70/'Anexo '!$F$20</f>
        <v>0</v>
      </c>
      <c r="AG70" s="28">
        <f>PROGRAMADO!AG70/'Anexo '!$F$20</f>
        <v>0</v>
      </c>
      <c r="AH70" s="28">
        <f>PROGRAMADO!AH70/'Anexo '!$F$20</f>
        <v>0</v>
      </c>
      <c r="AI70" s="28">
        <f>PROGRAMADO!AI70/'Anexo '!$F$20</f>
        <v>0</v>
      </c>
      <c r="AJ70" s="28">
        <f>PROGRAMADO!AJ70/'Anexo '!$F$20</f>
        <v>0</v>
      </c>
      <c r="AK70" s="28">
        <f>PROGRAMADO!AK70/'Anexo '!$G$20</f>
        <v>0</v>
      </c>
      <c r="AL70" s="28">
        <f>PROGRAMADO!AL70/'Anexo '!$G$20</f>
        <v>0</v>
      </c>
      <c r="AM70" s="28">
        <f>PROGRAMADO!AM70/'Anexo '!$G$20</f>
        <v>0</v>
      </c>
      <c r="AN70" s="28">
        <f>PROGRAMADO!AN70/'Anexo '!$G$20</f>
        <v>460752.19548478303</v>
      </c>
      <c r="AO70" s="28">
        <f>PROGRAMADO!AO70/'Anexo '!$G$20</f>
        <v>0</v>
      </c>
      <c r="AP70" s="28">
        <f>PROGRAMADO!AP70/'Anexo '!$G$20</f>
        <v>460752.19548478303</v>
      </c>
      <c r="AQ70" s="28">
        <f>PROGRAMADO!AQ70/'Anexo '!$G$20</f>
        <v>460752.19548478303</v>
      </c>
      <c r="AR70" s="28">
        <f>PROGRAMADO!AR70/'Anexo '!$H$20</f>
        <v>0</v>
      </c>
      <c r="AS70" s="28">
        <f>PROGRAMADO!AS70/'Anexo '!$H$20</f>
        <v>0</v>
      </c>
      <c r="AT70" s="28">
        <f>PROGRAMADO!AT70/'Anexo '!$H$20</f>
        <v>0</v>
      </c>
      <c r="AU70" s="28">
        <f>PROGRAMADO!AU70/'Anexo '!$H$20</f>
        <v>0</v>
      </c>
      <c r="AV70" s="28">
        <f>PROGRAMADO!AV70/'Anexo '!$H$20</f>
        <v>0</v>
      </c>
      <c r="AW70" s="28">
        <f>PROGRAMADO!AW70/'Anexo '!$H$20</f>
        <v>0</v>
      </c>
      <c r="AX70" s="28">
        <f>PROGRAMADO!AX70/'Anexo '!$H$20</f>
        <v>0</v>
      </c>
      <c r="AY70" s="28">
        <f>PROGRAMADO!AY70/'Anexo '!$I$20</f>
        <v>0</v>
      </c>
      <c r="AZ70" s="28">
        <f>PROGRAMADO!AZ70/'Anexo '!$I$20</f>
        <v>0</v>
      </c>
      <c r="BA70" s="28">
        <f>PROGRAMADO!BA70/'Anexo '!$I$20</f>
        <v>0</v>
      </c>
      <c r="BB70" s="28">
        <f>PROGRAMADO!BB70/'Anexo '!$I$20</f>
        <v>0</v>
      </c>
      <c r="BC70" s="28">
        <f>PROGRAMADO!BC70/'Anexo '!$I$20</f>
        <v>0</v>
      </c>
      <c r="BD70" s="28">
        <f>PROGRAMADO!BD70/'Anexo '!$I$20</f>
        <v>0</v>
      </c>
      <c r="BE70" s="28">
        <f>PROGRAMADO!BE70/'Anexo '!$I$20</f>
        <v>0</v>
      </c>
      <c r="BF70" s="28">
        <f>PROGRAMADO!BF70/'Anexo '!$J$20</f>
        <v>0</v>
      </c>
      <c r="BG70" s="28">
        <f>PROGRAMADO!BG70/'Anexo '!$J$20</f>
        <v>0</v>
      </c>
      <c r="BH70" s="28">
        <f>PROGRAMADO!BH70/'Anexo '!$J$20</f>
        <v>0</v>
      </c>
      <c r="BI70" s="28">
        <f>PROGRAMADO!BI70/'Anexo '!$J$20</f>
        <v>0</v>
      </c>
      <c r="BJ70" s="28">
        <f>PROGRAMADO!BJ70/'Anexo '!$J$20</f>
        <v>0</v>
      </c>
      <c r="BK70" s="28">
        <f>PROGRAMADO!BK70/'Anexo '!$J$20</f>
        <v>0</v>
      </c>
      <c r="BL70" s="28">
        <f>PROGRAMADO!BL70/'Anexo '!$J$20</f>
        <v>0</v>
      </c>
      <c r="BM70" s="28">
        <f>PROGRAMADO!BM70/'Anexo '!$K$20</f>
        <v>0</v>
      </c>
      <c r="BN70" s="28">
        <f>PROGRAMADO!BN70/'Anexo '!$K$20</f>
        <v>0</v>
      </c>
      <c r="BO70" s="28">
        <f>PROGRAMADO!BO70/'Anexo '!$K$20</f>
        <v>0</v>
      </c>
      <c r="BP70" s="28">
        <f>PROGRAMADO!BP70/'Anexo '!$K$20</f>
        <v>0</v>
      </c>
      <c r="BQ70" s="28">
        <f>PROGRAMADO!BQ70/'Anexo '!$K$20</f>
        <v>0</v>
      </c>
      <c r="BR70" s="28">
        <f>PROGRAMADO!BR70/'Anexo '!$K$20</f>
        <v>0</v>
      </c>
      <c r="BS70" s="28">
        <f>PROGRAMADO!BS70/'Anexo '!$K$20</f>
        <v>0</v>
      </c>
      <c r="BT70" s="28">
        <f>PROGRAMADO!BT70/'Anexo '!$L$20</f>
        <v>0</v>
      </c>
      <c r="BU70" s="28">
        <f>PROGRAMADO!BU70/'Anexo '!$L$20</f>
        <v>0</v>
      </c>
      <c r="BV70" s="28">
        <f>PROGRAMADO!BV70/'Anexo '!$L$20</f>
        <v>0</v>
      </c>
      <c r="BW70" s="28">
        <f>PROGRAMADO!BW70/'Anexo '!$L$20</f>
        <v>0</v>
      </c>
      <c r="BX70" s="28">
        <f>PROGRAMADO!BX70/'Anexo '!$L$20</f>
        <v>0</v>
      </c>
      <c r="BY70" s="28">
        <f>PROGRAMADO!BY70/'Anexo '!$L$20</f>
        <v>0</v>
      </c>
      <c r="BZ70" s="28">
        <f>PROGRAMADO!BZ70/'Anexo '!$L$20</f>
        <v>0</v>
      </c>
      <c r="CA70" s="28">
        <f>PROGRAMADO!CA70/'Anexo '!$L$20</f>
        <v>0</v>
      </c>
      <c r="CB70" s="28">
        <f>PROGRAMADO!CB70/'Anexo '!$M$20</f>
        <v>0</v>
      </c>
      <c r="CC70" s="28">
        <f>PROGRAMADO!CC70/'Anexo '!$M$20</f>
        <v>0</v>
      </c>
      <c r="CD70" s="28">
        <f>PROGRAMADO!CD70/'Anexo '!$M$20</f>
        <v>0</v>
      </c>
      <c r="CE70" s="28">
        <f>PROGRAMADO!CE70/'Anexo '!$M$20</f>
        <v>0</v>
      </c>
      <c r="CF70" s="28">
        <f>PROGRAMADO!CF70/'Anexo '!$M$20</f>
        <v>0</v>
      </c>
      <c r="CG70" s="28">
        <f>PROGRAMADO!CG70/'Anexo '!$M$20</f>
        <v>0</v>
      </c>
      <c r="CH70" s="28">
        <f>PROGRAMADO!CH70/'Anexo '!$M$20</f>
        <v>0</v>
      </c>
      <c r="CI70" s="29">
        <f>PROGRAMADO!CI70/'Anexo '!$M$20</f>
        <v>0</v>
      </c>
    </row>
    <row r="71" spans="1:87" x14ac:dyDescent="0.25">
      <c r="A71" s="23" t="s">
        <v>110</v>
      </c>
      <c r="B71" s="28">
        <f>PROGRAMADO!B71/'Anexo '!$B$20</f>
        <v>0</v>
      </c>
      <c r="C71" s="28">
        <f>PROGRAMADO!C71/'Anexo '!$B$20</f>
        <v>0</v>
      </c>
      <c r="D71" s="28">
        <f>PROGRAMADO!D71/'Anexo '!$B$20</f>
        <v>0</v>
      </c>
      <c r="E71" s="28">
        <f>PROGRAMADO!E71/'Anexo '!$B$20</f>
        <v>0</v>
      </c>
      <c r="F71" s="28">
        <f>PROGRAMADO!F71/'Anexo '!$B$20</f>
        <v>0</v>
      </c>
      <c r="G71" s="28">
        <f>PROGRAMADO!G71/'Anexo '!$B$20</f>
        <v>0</v>
      </c>
      <c r="H71" s="28">
        <f>PROGRAMADO!H71/'Anexo '!$B$20</f>
        <v>0</v>
      </c>
      <c r="I71" s="28">
        <f>PROGRAMADO!I71/'Anexo '!$C$20</f>
        <v>0</v>
      </c>
      <c r="J71" s="28">
        <f>PROGRAMADO!J71/'Anexo '!$C$20</f>
        <v>0</v>
      </c>
      <c r="K71" s="28">
        <f>PROGRAMADO!K71/'Anexo '!$C$20</f>
        <v>0</v>
      </c>
      <c r="L71" s="28">
        <f>PROGRAMADO!L71/'Anexo '!$C$20</f>
        <v>0</v>
      </c>
      <c r="M71" s="28">
        <f>PROGRAMADO!M71/'Anexo '!$C$20</f>
        <v>0</v>
      </c>
      <c r="N71" s="28">
        <f>PROGRAMADO!N71/'Anexo '!$C$20</f>
        <v>0</v>
      </c>
      <c r="O71" s="28">
        <f>PROGRAMADO!O71/'Anexo '!$C$20</f>
        <v>0</v>
      </c>
      <c r="P71" s="28">
        <f>PROGRAMADO!P71/'Anexo '!$D$20</f>
        <v>0</v>
      </c>
      <c r="Q71" s="28">
        <f>PROGRAMADO!Q71/'Anexo '!$D$20</f>
        <v>0</v>
      </c>
      <c r="R71" s="28">
        <f>PROGRAMADO!R71/'Anexo '!$D$20</f>
        <v>0</v>
      </c>
      <c r="S71" s="28">
        <f>PROGRAMADO!S71/'Anexo '!$D$20</f>
        <v>0</v>
      </c>
      <c r="T71" s="28">
        <f>PROGRAMADO!T71/'Anexo '!$D$20</f>
        <v>0</v>
      </c>
      <c r="U71" s="28">
        <f>PROGRAMADO!U71/'Anexo '!$D$20</f>
        <v>0</v>
      </c>
      <c r="V71" s="28">
        <f>PROGRAMADO!V71/'Anexo '!$D$20</f>
        <v>0</v>
      </c>
      <c r="W71" s="28">
        <f>PROGRAMADO!W71/'Anexo '!$E$13</f>
        <v>0</v>
      </c>
      <c r="X71" s="28">
        <f>PROGRAMADO!X71/'Anexo '!$E$13</f>
        <v>0</v>
      </c>
      <c r="Y71" s="28">
        <f>PROGRAMADO!Y71/'Anexo '!$E$13</f>
        <v>0</v>
      </c>
      <c r="Z71" s="28">
        <f>PROGRAMADO!Z71/'Anexo '!$E$13</f>
        <v>0</v>
      </c>
      <c r="AA71" s="28">
        <f>PROGRAMADO!AA71/'Anexo '!$E$13</f>
        <v>0</v>
      </c>
      <c r="AB71" s="28">
        <f>PROGRAMADO!AB71/'Anexo '!$E$13</f>
        <v>0</v>
      </c>
      <c r="AC71" s="28">
        <f>PROGRAMADO!AC71/'Anexo '!$E$13</f>
        <v>0</v>
      </c>
      <c r="AD71" s="28">
        <f>PROGRAMADO!AD71/'Anexo '!$F$20</f>
        <v>0</v>
      </c>
      <c r="AE71" s="28">
        <f>PROGRAMADO!AE71/'Anexo '!$F$20</f>
        <v>0</v>
      </c>
      <c r="AF71" s="28">
        <f>PROGRAMADO!AF71/'Anexo '!$F$20</f>
        <v>0</v>
      </c>
      <c r="AG71" s="28">
        <f>PROGRAMADO!AG71/'Anexo '!$F$20</f>
        <v>0</v>
      </c>
      <c r="AH71" s="28">
        <f>PROGRAMADO!AH71/'Anexo '!$F$20</f>
        <v>0</v>
      </c>
      <c r="AI71" s="28">
        <f>PROGRAMADO!AI71/'Anexo '!$F$20</f>
        <v>0</v>
      </c>
      <c r="AJ71" s="28">
        <f>PROGRAMADO!AJ71/'Anexo '!$F$20</f>
        <v>0</v>
      </c>
      <c r="AK71" s="28">
        <f>PROGRAMADO!AK71/'Anexo '!$G$20</f>
        <v>0</v>
      </c>
      <c r="AL71" s="28">
        <f>PROGRAMADO!AL71/'Anexo '!$G$20</f>
        <v>950004.52677274856</v>
      </c>
      <c r="AM71" s="28">
        <f>PROGRAMADO!AM71/'Anexo '!$G$20</f>
        <v>950004.52677274856</v>
      </c>
      <c r="AN71" s="28">
        <f>PROGRAMADO!AN71/'Anexo '!$G$20</f>
        <v>0</v>
      </c>
      <c r="AO71" s="28">
        <f>PROGRAMADO!AO71/'Anexo '!$G$20</f>
        <v>0</v>
      </c>
      <c r="AP71" s="28">
        <f>PROGRAMADO!AP71/'Anexo '!$G$20</f>
        <v>0</v>
      </c>
      <c r="AQ71" s="28">
        <f>PROGRAMADO!AQ71/'Anexo '!$G$20</f>
        <v>950004.52677274856</v>
      </c>
      <c r="AR71" s="28">
        <f>PROGRAMADO!AR71/'Anexo '!$H$20</f>
        <v>0</v>
      </c>
      <c r="AS71" s="28">
        <f>PROGRAMADO!AS71/'Anexo '!$H$20</f>
        <v>0</v>
      </c>
      <c r="AT71" s="28">
        <f>PROGRAMADO!AT71/'Anexo '!$H$20</f>
        <v>0</v>
      </c>
      <c r="AU71" s="28">
        <f>PROGRAMADO!AU71/'Anexo '!$H$20</f>
        <v>0</v>
      </c>
      <c r="AV71" s="28">
        <f>PROGRAMADO!AV71/'Anexo '!$H$20</f>
        <v>0</v>
      </c>
      <c r="AW71" s="28">
        <f>PROGRAMADO!AW71/'Anexo '!$H$20</f>
        <v>0</v>
      </c>
      <c r="AX71" s="28">
        <f>PROGRAMADO!AX71/'Anexo '!$H$20</f>
        <v>0</v>
      </c>
      <c r="AY71" s="28">
        <f>PROGRAMADO!AY71/'Anexo '!$I$20</f>
        <v>0</v>
      </c>
      <c r="AZ71" s="28">
        <f>PROGRAMADO!AZ71/'Anexo '!$I$20</f>
        <v>0</v>
      </c>
      <c r="BA71" s="28">
        <f>PROGRAMADO!BA71/'Anexo '!$I$20</f>
        <v>0</v>
      </c>
      <c r="BB71" s="28">
        <f>PROGRAMADO!BB71/'Anexo '!$I$20</f>
        <v>0</v>
      </c>
      <c r="BC71" s="28">
        <f>PROGRAMADO!BC71/'Anexo '!$I$20</f>
        <v>0</v>
      </c>
      <c r="BD71" s="28">
        <f>PROGRAMADO!BD71/'Anexo '!$I$20</f>
        <v>0</v>
      </c>
      <c r="BE71" s="28">
        <f>PROGRAMADO!BE71/'Anexo '!$I$20</f>
        <v>0</v>
      </c>
      <c r="BF71" s="28">
        <f>PROGRAMADO!BF71/'Anexo '!$J$20</f>
        <v>0</v>
      </c>
      <c r="BG71" s="28">
        <f>PROGRAMADO!BG71/'Anexo '!$J$20</f>
        <v>0</v>
      </c>
      <c r="BH71" s="28">
        <f>PROGRAMADO!BH71/'Anexo '!$J$20</f>
        <v>0</v>
      </c>
      <c r="BI71" s="28">
        <f>PROGRAMADO!BI71/'Anexo '!$J$20</f>
        <v>0</v>
      </c>
      <c r="BJ71" s="28">
        <f>PROGRAMADO!BJ71/'Anexo '!$J$20</f>
        <v>0</v>
      </c>
      <c r="BK71" s="28">
        <f>PROGRAMADO!BK71/'Anexo '!$J$20</f>
        <v>0</v>
      </c>
      <c r="BL71" s="28">
        <f>PROGRAMADO!BL71/'Anexo '!$J$20</f>
        <v>0</v>
      </c>
      <c r="BM71" s="28">
        <f>PROGRAMADO!BM71/'Anexo '!$K$20</f>
        <v>0</v>
      </c>
      <c r="BN71" s="28">
        <f>PROGRAMADO!BN71/'Anexo '!$K$20</f>
        <v>0</v>
      </c>
      <c r="BO71" s="28">
        <f>PROGRAMADO!BO71/'Anexo '!$K$20</f>
        <v>0</v>
      </c>
      <c r="BP71" s="28">
        <f>PROGRAMADO!BP71/'Anexo '!$K$20</f>
        <v>0</v>
      </c>
      <c r="BQ71" s="28">
        <f>PROGRAMADO!BQ71/'Anexo '!$K$20</f>
        <v>0</v>
      </c>
      <c r="BR71" s="28">
        <f>PROGRAMADO!BR71/'Anexo '!$K$20</f>
        <v>0</v>
      </c>
      <c r="BS71" s="28">
        <f>PROGRAMADO!BS71/'Anexo '!$K$20</f>
        <v>0</v>
      </c>
      <c r="BT71" s="28">
        <f>PROGRAMADO!BT71/'Anexo '!$L$20</f>
        <v>0</v>
      </c>
      <c r="BU71" s="28">
        <f>PROGRAMADO!BU71/'Anexo '!$L$20</f>
        <v>0</v>
      </c>
      <c r="BV71" s="28">
        <f>PROGRAMADO!BV71/'Anexo '!$L$20</f>
        <v>0</v>
      </c>
      <c r="BW71" s="28">
        <f>PROGRAMADO!BW71/'Anexo '!$L$20</f>
        <v>0</v>
      </c>
      <c r="BX71" s="28">
        <f>PROGRAMADO!BX71/'Anexo '!$L$20</f>
        <v>0</v>
      </c>
      <c r="BY71" s="28">
        <f>PROGRAMADO!BY71/'Anexo '!$L$20</f>
        <v>0</v>
      </c>
      <c r="BZ71" s="28">
        <f>PROGRAMADO!BZ71/'Anexo '!$L$20</f>
        <v>0</v>
      </c>
      <c r="CA71" s="28">
        <f>PROGRAMADO!CA71/'Anexo '!$L$20</f>
        <v>0</v>
      </c>
      <c r="CB71" s="28">
        <f>PROGRAMADO!CB71/'Anexo '!$M$20</f>
        <v>0</v>
      </c>
      <c r="CC71" s="28">
        <f>PROGRAMADO!CC71/'Anexo '!$M$20</f>
        <v>0</v>
      </c>
      <c r="CD71" s="28">
        <f>PROGRAMADO!CD71/'Anexo '!$M$20</f>
        <v>0</v>
      </c>
      <c r="CE71" s="28">
        <f>PROGRAMADO!CE71/'Anexo '!$M$20</f>
        <v>0</v>
      </c>
      <c r="CF71" s="28">
        <f>PROGRAMADO!CF71/'Anexo '!$M$20</f>
        <v>0</v>
      </c>
      <c r="CG71" s="28">
        <f>PROGRAMADO!CG71/'Anexo '!$M$20</f>
        <v>0</v>
      </c>
      <c r="CH71" s="28">
        <f>PROGRAMADO!CH71/'Anexo '!$M$20</f>
        <v>0</v>
      </c>
      <c r="CI71" s="29">
        <f>PROGRAMADO!CI71/'Anexo '!$M$20</f>
        <v>0</v>
      </c>
    </row>
    <row r="72" spans="1:87" x14ac:dyDescent="0.25">
      <c r="A72" s="23" t="s">
        <v>113</v>
      </c>
      <c r="B72" s="28">
        <f>PROGRAMADO!B72/'Anexo '!$B$20</f>
        <v>0</v>
      </c>
      <c r="C72" s="28">
        <f>PROGRAMADO!C72/'Anexo '!$B$20</f>
        <v>0</v>
      </c>
      <c r="D72" s="28">
        <f>PROGRAMADO!D72/'Anexo '!$B$20</f>
        <v>0</v>
      </c>
      <c r="E72" s="28">
        <f>PROGRAMADO!E72/'Anexo '!$B$20</f>
        <v>0</v>
      </c>
      <c r="F72" s="28">
        <f>PROGRAMADO!F72/'Anexo '!$B$20</f>
        <v>0</v>
      </c>
      <c r="G72" s="28">
        <f>PROGRAMADO!G72/'Anexo '!$B$20</f>
        <v>0</v>
      </c>
      <c r="H72" s="28">
        <f>PROGRAMADO!H72/'Anexo '!$B$20</f>
        <v>0</v>
      </c>
      <c r="I72" s="28">
        <f>PROGRAMADO!I72/'Anexo '!$C$20</f>
        <v>0</v>
      </c>
      <c r="J72" s="28">
        <f>PROGRAMADO!J72/'Anexo '!$C$20</f>
        <v>0</v>
      </c>
      <c r="K72" s="28">
        <f>PROGRAMADO!K72/'Anexo '!$C$20</f>
        <v>0</v>
      </c>
      <c r="L72" s="28">
        <f>PROGRAMADO!L72/'Anexo '!$C$20</f>
        <v>0</v>
      </c>
      <c r="M72" s="28">
        <f>PROGRAMADO!M72/'Anexo '!$C$20</f>
        <v>0</v>
      </c>
      <c r="N72" s="28">
        <f>PROGRAMADO!N72/'Anexo '!$C$20</f>
        <v>0</v>
      </c>
      <c r="O72" s="28">
        <f>PROGRAMADO!O72/'Anexo '!$C$20</f>
        <v>0</v>
      </c>
      <c r="P72" s="28">
        <f>PROGRAMADO!P72/'Anexo '!$D$20</f>
        <v>0</v>
      </c>
      <c r="Q72" s="28">
        <f>PROGRAMADO!Q72/'Anexo '!$D$20</f>
        <v>0</v>
      </c>
      <c r="R72" s="28">
        <f>PROGRAMADO!R72/'Anexo '!$D$20</f>
        <v>0</v>
      </c>
      <c r="S72" s="28">
        <f>PROGRAMADO!S72/'Anexo '!$D$20</f>
        <v>0</v>
      </c>
      <c r="T72" s="28">
        <f>PROGRAMADO!T72/'Anexo '!$D$20</f>
        <v>0</v>
      </c>
      <c r="U72" s="28">
        <f>PROGRAMADO!U72/'Anexo '!$D$20</f>
        <v>0</v>
      </c>
      <c r="V72" s="28">
        <f>PROGRAMADO!V72/'Anexo '!$D$20</f>
        <v>0</v>
      </c>
      <c r="W72" s="28">
        <f>PROGRAMADO!W72/'Anexo '!$E$13</f>
        <v>0</v>
      </c>
      <c r="X72" s="28">
        <f>PROGRAMADO!X72/'Anexo '!$E$13</f>
        <v>0</v>
      </c>
      <c r="Y72" s="28">
        <f>PROGRAMADO!Y72/'Anexo '!$E$13</f>
        <v>0</v>
      </c>
      <c r="Z72" s="28">
        <f>PROGRAMADO!Z72/'Anexo '!$E$13</f>
        <v>0</v>
      </c>
      <c r="AA72" s="28">
        <f>PROGRAMADO!AA72/'Anexo '!$E$13</f>
        <v>0</v>
      </c>
      <c r="AB72" s="28">
        <f>PROGRAMADO!AB72/'Anexo '!$E$13</f>
        <v>0</v>
      </c>
      <c r="AC72" s="28">
        <f>PROGRAMADO!AC72/'Anexo '!$E$13</f>
        <v>0</v>
      </c>
      <c r="AD72" s="28">
        <f>PROGRAMADO!AD72/'Anexo '!$F$20</f>
        <v>0</v>
      </c>
      <c r="AE72" s="28">
        <f>PROGRAMADO!AE72/'Anexo '!$F$20</f>
        <v>0</v>
      </c>
      <c r="AF72" s="28">
        <f>PROGRAMADO!AF72/'Anexo '!$F$20</f>
        <v>0</v>
      </c>
      <c r="AG72" s="28">
        <f>PROGRAMADO!AG72/'Anexo '!$F$20</f>
        <v>0</v>
      </c>
      <c r="AH72" s="28">
        <f>PROGRAMADO!AH72/'Anexo '!$F$20</f>
        <v>0</v>
      </c>
      <c r="AI72" s="28">
        <f>PROGRAMADO!AI72/'Anexo '!$F$20</f>
        <v>0</v>
      </c>
      <c r="AJ72" s="28">
        <f>PROGRAMADO!AJ72/'Anexo '!$F$20</f>
        <v>0</v>
      </c>
      <c r="AK72" s="28">
        <f>PROGRAMADO!AK72/'Anexo '!$G$20</f>
        <v>0</v>
      </c>
      <c r="AL72" s="28">
        <f>PROGRAMADO!AL72/'Anexo '!$G$20</f>
        <v>0</v>
      </c>
      <c r="AM72" s="28">
        <f>PROGRAMADO!AM72/'Anexo '!$G$20</f>
        <v>0</v>
      </c>
      <c r="AN72" s="28">
        <f>PROGRAMADO!AN72/'Anexo '!$G$20</f>
        <v>0</v>
      </c>
      <c r="AO72" s="28">
        <f>PROGRAMADO!AO72/'Anexo '!$G$20</f>
        <v>0</v>
      </c>
      <c r="AP72" s="28">
        <f>PROGRAMADO!AP72/'Anexo '!$G$20</f>
        <v>0</v>
      </c>
      <c r="AQ72" s="28">
        <f>PROGRAMADO!AQ72/'Anexo '!$G$20</f>
        <v>0</v>
      </c>
      <c r="AR72" s="28">
        <f>PROGRAMADO!AR72/'Anexo '!$H$20</f>
        <v>0</v>
      </c>
      <c r="AS72" s="28">
        <f>PROGRAMADO!AS72/'Anexo '!$H$20</f>
        <v>0</v>
      </c>
      <c r="AT72" s="28">
        <f>PROGRAMADO!AT72/'Anexo '!$H$20</f>
        <v>0</v>
      </c>
      <c r="AU72" s="28">
        <f>PROGRAMADO!AU72/'Anexo '!$H$20</f>
        <v>0</v>
      </c>
      <c r="AV72" s="28">
        <f>PROGRAMADO!AV72/'Anexo '!$H$20</f>
        <v>0</v>
      </c>
      <c r="AW72" s="28">
        <f>PROGRAMADO!AW72/'Anexo '!$H$20</f>
        <v>0</v>
      </c>
      <c r="AX72" s="28">
        <f>PROGRAMADO!AX72/'Anexo '!$H$20</f>
        <v>0</v>
      </c>
      <c r="AY72" s="28">
        <f>PROGRAMADO!AY72/'Anexo '!$I$20</f>
        <v>0</v>
      </c>
      <c r="AZ72" s="28">
        <f>PROGRAMADO!AZ72/'Anexo '!$I$20</f>
        <v>0</v>
      </c>
      <c r="BA72" s="28">
        <f>PROGRAMADO!BA72/'Anexo '!$I$20</f>
        <v>0</v>
      </c>
      <c r="BB72" s="28">
        <f>PROGRAMADO!BB72/'Anexo '!$I$20</f>
        <v>0</v>
      </c>
      <c r="BC72" s="28">
        <f>PROGRAMADO!BC72/'Anexo '!$I$20</f>
        <v>0</v>
      </c>
      <c r="BD72" s="28">
        <f>PROGRAMADO!BD72/'Anexo '!$I$20</f>
        <v>0</v>
      </c>
      <c r="BE72" s="28">
        <f>PROGRAMADO!BE72/'Anexo '!$I$20</f>
        <v>0</v>
      </c>
      <c r="BF72" s="28">
        <f>PROGRAMADO!BF72/'Anexo '!$J$20</f>
        <v>0</v>
      </c>
      <c r="BG72" s="28">
        <f>PROGRAMADO!BG72/'Anexo '!$J$20</f>
        <v>0</v>
      </c>
      <c r="BH72" s="28">
        <f>PROGRAMADO!BH72/'Anexo '!$J$20</f>
        <v>0</v>
      </c>
      <c r="BI72" s="28">
        <f>PROGRAMADO!BI72/'Anexo '!$J$20</f>
        <v>0</v>
      </c>
      <c r="BJ72" s="28">
        <f>PROGRAMADO!BJ72/'Anexo '!$J$20</f>
        <v>0</v>
      </c>
      <c r="BK72" s="28">
        <f>PROGRAMADO!BK72/'Anexo '!$J$20</f>
        <v>0</v>
      </c>
      <c r="BL72" s="28">
        <f>PROGRAMADO!BL72/'Anexo '!$J$20</f>
        <v>0</v>
      </c>
      <c r="BM72" s="28">
        <f>PROGRAMADO!BM72/'Anexo '!$K$20</f>
        <v>0</v>
      </c>
      <c r="BN72" s="28">
        <f>PROGRAMADO!BN72/'Anexo '!$K$20</f>
        <v>20747748.753312901</v>
      </c>
      <c r="BO72" s="28">
        <f>PROGRAMADO!BO72/'Anexo '!$K$20</f>
        <v>20747748.753312901</v>
      </c>
      <c r="BP72" s="28">
        <f>PROGRAMADO!BP72/'Anexo '!$K$20</f>
        <v>0</v>
      </c>
      <c r="BQ72" s="28">
        <f>PROGRAMADO!BQ72/'Anexo '!$K$20</f>
        <v>0</v>
      </c>
      <c r="BR72" s="28">
        <f>PROGRAMADO!BR72/'Anexo '!$K$20</f>
        <v>0</v>
      </c>
      <c r="BS72" s="28">
        <f>PROGRAMADO!BS72/'Anexo '!$K$20</f>
        <v>20747748.753312901</v>
      </c>
      <c r="BT72" s="28">
        <f>PROGRAMADO!BT72/'Anexo '!$L$20</f>
        <v>0</v>
      </c>
      <c r="BU72" s="28">
        <f>PROGRAMADO!BU72/'Anexo '!$L$20</f>
        <v>0</v>
      </c>
      <c r="BV72" s="28">
        <f>PROGRAMADO!BV72/'Anexo '!$L$20</f>
        <v>0</v>
      </c>
      <c r="BW72" s="28">
        <f>PROGRAMADO!BW72/'Anexo '!$L$20</f>
        <v>0</v>
      </c>
      <c r="BX72" s="28">
        <f>PROGRAMADO!BX72/'Anexo '!$L$20</f>
        <v>0</v>
      </c>
      <c r="BY72" s="28">
        <f>PROGRAMADO!BY72/'Anexo '!$L$20</f>
        <v>0</v>
      </c>
      <c r="BZ72" s="28">
        <f>PROGRAMADO!BZ72/'Anexo '!$L$20</f>
        <v>0</v>
      </c>
      <c r="CA72" s="28">
        <f>PROGRAMADO!CA72/'Anexo '!$L$20</f>
        <v>0</v>
      </c>
      <c r="CB72" s="28">
        <f>PROGRAMADO!CB72/'Anexo '!$M$20</f>
        <v>0</v>
      </c>
      <c r="CC72" s="28">
        <f>PROGRAMADO!CC72/'Anexo '!$M$20</f>
        <v>0</v>
      </c>
      <c r="CD72" s="28">
        <f>PROGRAMADO!CD72/'Anexo '!$M$20</f>
        <v>0</v>
      </c>
      <c r="CE72" s="28">
        <f>PROGRAMADO!CE72/'Anexo '!$M$20</f>
        <v>0</v>
      </c>
      <c r="CF72" s="28">
        <f>PROGRAMADO!CF72/'Anexo '!$M$20</f>
        <v>0</v>
      </c>
      <c r="CG72" s="28">
        <f>PROGRAMADO!CG72/'Anexo '!$M$20</f>
        <v>0</v>
      </c>
      <c r="CH72" s="28">
        <f>PROGRAMADO!CH72/'Anexo '!$M$20</f>
        <v>0</v>
      </c>
      <c r="CI72" s="29">
        <f>PROGRAMADO!CI72/'Anexo '!$M$20</f>
        <v>0</v>
      </c>
    </row>
    <row r="73" spans="1:87" x14ac:dyDescent="0.25">
      <c r="A73" s="23" t="s">
        <v>114</v>
      </c>
      <c r="B73" s="28">
        <f>PROGRAMADO!B73/'Anexo '!$B$20</f>
        <v>0</v>
      </c>
      <c r="C73" s="28">
        <f>PROGRAMADO!C73/'Anexo '!$B$20</f>
        <v>0</v>
      </c>
      <c r="D73" s="28">
        <f>PROGRAMADO!D73/'Anexo '!$B$20</f>
        <v>0</v>
      </c>
      <c r="E73" s="28">
        <f>PROGRAMADO!E73/'Anexo '!$B$20</f>
        <v>0</v>
      </c>
      <c r="F73" s="28">
        <f>PROGRAMADO!F73/'Anexo '!$B$20</f>
        <v>0</v>
      </c>
      <c r="G73" s="28">
        <f>PROGRAMADO!G73/'Anexo '!$B$20</f>
        <v>0</v>
      </c>
      <c r="H73" s="28">
        <f>PROGRAMADO!H73/'Anexo '!$B$20</f>
        <v>0</v>
      </c>
      <c r="I73" s="28">
        <f>PROGRAMADO!I73/'Anexo '!$C$20</f>
        <v>0</v>
      </c>
      <c r="J73" s="28">
        <f>PROGRAMADO!J73/'Anexo '!$C$20</f>
        <v>0</v>
      </c>
      <c r="K73" s="28">
        <f>PROGRAMADO!K73/'Anexo '!$C$20</f>
        <v>0</v>
      </c>
      <c r="L73" s="28">
        <f>PROGRAMADO!L73/'Anexo '!$C$20</f>
        <v>0</v>
      </c>
      <c r="M73" s="28">
        <f>PROGRAMADO!M73/'Anexo '!$C$20</f>
        <v>0</v>
      </c>
      <c r="N73" s="28">
        <f>PROGRAMADO!N73/'Anexo '!$C$20</f>
        <v>0</v>
      </c>
      <c r="O73" s="28">
        <f>PROGRAMADO!O73/'Anexo '!$C$20</f>
        <v>0</v>
      </c>
      <c r="P73" s="28">
        <f>PROGRAMADO!P73/'Anexo '!$D$20</f>
        <v>0</v>
      </c>
      <c r="Q73" s="28">
        <f>PROGRAMADO!Q73/'Anexo '!$D$20</f>
        <v>0</v>
      </c>
      <c r="R73" s="28">
        <f>PROGRAMADO!R73/'Anexo '!$D$20</f>
        <v>0</v>
      </c>
      <c r="S73" s="28">
        <f>PROGRAMADO!S73/'Anexo '!$D$20</f>
        <v>0</v>
      </c>
      <c r="T73" s="28">
        <f>PROGRAMADO!T73/'Anexo '!$D$20</f>
        <v>0</v>
      </c>
      <c r="U73" s="28">
        <f>PROGRAMADO!U73/'Anexo '!$D$20</f>
        <v>0</v>
      </c>
      <c r="V73" s="28">
        <f>PROGRAMADO!V73/'Anexo '!$D$20</f>
        <v>0</v>
      </c>
      <c r="W73" s="28">
        <f>PROGRAMADO!W73/'Anexo '!$E$13</f>
        <v>0</v>
      </c>
      <c r="X73" s="28">
        <f>PROGRAMADO!X73/'Anexo '!$E$13</f>
        <v>0</v>
      </c>
      <c r="Y73" s="28">
        <f>PROGRAMADO!Y73/'Anexo '!$E$13</f>
        <v>0</v>
      </c>
      <c r="Z73" s="28">
        <f>PROGRAMADO!Z73/'Anexo '!$E$13</f>
        <v>0</v>
      </c>
      <c r="AA73" s="28">
        <f>PROGRAMADO!AA73/'Anexo '!$E$13</f>
        <v>0</v>
      </c>
      <c r="AB73" s="28">
        <f>PROGRAMADO!AB73/'Anexo '!$E$13</f>
        <v>0</v>
      </c>
      <c r="AC73" s="28">
        <f>PROGRAMADO!AC73/'Anexo '!$E$13</f>
        <v>0</v>
      </c>
      <c r="AD73" s="28">
        <f>PROGRAMADO!AD73/'Anexo '!$F$20</f>
        <v>0</v>
      </c>
      <c r="AE73" s="28">
        <f>PROGRAMADO!AE73/'Anexo '!$F$20</f>
        <v>0</v>
      </c>
      <c r="AF73" s="28">
        <f>PROGRAMADO!AF73/'Anexo '!$F$20</f>
        <v>0</v>
      </c>
      <c r="AG73" s="28">
        <f>PROGRAMADO!AG73/'Anexo '!$F$20</f>
        <v>0</v>
      </c>
      <c r="AH73" s="28">
        <f>PROGRAMADO!AH73/'Anexo '!$F$20</f>
        <v>0</v>
      </c>
      <c r="AI73" s="28">
        <f>PROGRAMADO!AI73/'Anexo '!$F$20</f>
        <v>0</v>
      </c>
      <c r="AJ73" s="28">
        <f>PROGRAMADO!AJ73/'Anexo '!$F$20</f>
        <v>0</v>
      </c>
      <c r="AK73" s="28">
        <f>PROGRAMADO!AK73/'Anexo '!$G$20</f>
        <v>0</v>
      </c>
      <c r="AL73" s="28">
        <f>PROGRAMADO!AL73/'Anexo '!$G$20</f>
        <v>0</v>
      </c>
      <c r="AM73" s="28">
        <f>PROGRAMADO!AM73/'Anexo '!$G$20</f>
        <v>0</v>
      </c>
      <c r="AN73" s="28">
        <f>PROGRAMADO!AN73/'Anexo '!$G$20</f>
        <v>0</v>
      </c>
      <c r="AO73" s="28">
        <f>PROGRAMADO!AO73/'Anexo '!$G$20</f>
        <v>0</v>
      </c>
      <c r="AP73" s="28">
        <f>PROGRAMADO!AP73/'Anexo '!$G$20</f>
        <v>0</v>
      </c>
      <c r="AQ73" s="28">
        <f>PROGRAMADO!AQ73/'Anexo '!$G$20</f>
        <v>0</v>
      </c>
      <c r="AR73" s="28">
        <f>PROGRAMADO!AR73/'Anexo '!$H$20</f>
        <v>0</v>
      </c>
      <c r="AS73" s="28">
        <f>PROGRAMADO!AS73/'Anexo '!$H$20</f>
        <v>0</v>
      </c>
      <c r="AT73" s="28">
        <f>PROGRAMADO!AT73/'Anexo '!$H$20</f>
        <v>0</v>
      </c>
      <c r="AU73" s="28">
        <f>PROGRAMADO!AU73/'Anexo '!$H$20</f>
        <v>0</v>
      </c>
      <c r="AV73" s="28">
        <f>PROGRAMADO!AV73/'Anexo '!$H$20</f>
        <v>0</v>
      </c>
      <c r="AW73" s="28">
        <f>PROGRAMADO!AW73/'Anexo '!$H$20</f>
        <v>0</v>
      </c>
      <c r="AX73" s="28">
        <f>PROGRAMADO!AX73/'Anexo '!$H$20</f>
        <v>0</v>
      </c>
      <c r="AY73" s="28">
        <f>PROGRAMADO!AY73/'Anexo '!$I$20</f>
        <v>0</v>
      </c>
      <c r="AZ73" s="28">
        <f>PROGRAMADO!AZ73/'Anexo '!$I$20</f>
        <v>0</v>
      </c>
      <c r="BA73" s="28">
        <f>PROGRAMADO!BA73/'Anexo '!$I$20</f>
        <v>0</v>
      </c>
      <c r="BB73" s="28">
        <f>PROGRAMADO!BB73/'Anexo '!$I$20</f>
        <v>0</v>
      </c>
      <c r="BC73" s="28">
        <f>PROGRAMADO!BC73/'Anexo '!$I$20</f>
        <v>0</v>
      </c>
      <c r="BD73" s="28">
        <f>PROGRAMADO!BD73/'Anexo '!$I$20</f>
        <v>0</v>
      </c>
      <c r="BE73" s="28">
        <f>PROGRAMADO!BE73/'Anexo '!$I$20</f>
        <v>0</v>
      </c>
      <c r="BF73" s="28">
        <f>PROGRAMADO!BF73/'Anexo '!$J$20</f>
        <v>0</v>
      </c>
      <c r="BG73" s="28">
        <f>PROGRAMADO!BG73/'Anexo '!$J$20</f>
        <v>0</v>
      </c>
      <c r="BH73" s="28">
        <f>PROGRAMADO!BH73/'Anexo '!$J$20</f>
        <v>0</v>
      </c>
      <c r="BI73" s="28">
        <f>PROGRAMADO!BI73/'Anexo '!$J$20</f>
        <v>0</v>
      </c>
      <c r="BJ73" s="28">
        <f>PROGRAMADO!BJ73/'Anexo '!$J$20</f>
        <v>0</v>
      </c>
      <c r="BK73" s="28">
        <f>PROGRAMADO!BK73/'Anexo '!$J$20</f>
        <v>0</v>
      </c>
      <c r="BL73" s="28">
        <f>PROGRAMADO!BL73/'Anexo '!$J$20</f>
        <v>0</v>
      </c>
      <c r="BM73" s="28">
        <f>PROGRAMADO!BM73/'Anexo '!$K$20</f>
        <v>0</v>
      </c>
      <c r="BN73" s="28">
        <f>PROGRAMADO!BN73/'Anexo '!$K$20</f>
        <v>10176652.430332182</v>
      </c>
      <c r="BO73" s="28">
        <f>PROGRAMADO!BO73/'Anexo '!$K$20</f>
        <v>10176652.430332182</v>
      </c>
      <c r="BP73" s="28">
        <f>PROGRAMADO!BP73/'Anexo '!$K$20</f>
        <v>0</v>
      </c>
      <c r="BQ73" s="28">
        <f>PROGRAMADO!BQ73/'Anexo '!$K$20</f>
        <v>0</v>
      </c>
      <c r="BR73" s="28">
        <f>PROGRAMADO!BR73/'Anexo '!$K$20</f>
        <v>0</v>
      </c>
      <c r="BS73" s="28">
        <f>PROGRAMADO!BS73/'Anexo '!$K$20</f>
        <v>10176652.430332182</v>
      </c>
      <c r="BT73" s="28">
        <f>PROGRAMADO!BT73/'Anexo '!$L$20</f>
        <v>0</v>
      </c>
      <c r="BU73" s="28">
        <f>PROGRAMADO!BU73/'Anexo '!$L$20</f>
        <v>0</v>
      </c>
      <c r="BV73" s="28">
        <f>PROGRAMADO!BV73/'Anexo '!$L$20</f>
        <v>0</v>
      </c>
      <c r="BW73" s="28">
        <f>PROGRAMADO!BW73/'Anexo '!$L$20</f>
        <v>0</v>
      </c>
      <c r="BX73" s="28">
        <f>PROGRAMADO!BX73/'Anexo '!$L$20</f>
        <v>0</v>
      </c>
      <c r="BY73" s="28">
        <f>PROGRAMADO!BY73/'Anexo '!$L$20</f>
        <v>0</v>
      </c>
      <c r="BZ73" s="28">
        <f>PROGRAMADO!BZ73/'Anexo '!$L$20</f>
        <v>0</v>
      </c>
      <c r="CA73" s="28">
        <f>PROGRAMADO!CA73/'Anexo '!$L$20</f>
        <v>0</v>
      </c>
      <c r="CB73" s="28">
        <f>PROGRAMADO!CB73/'Anexo '!$M$20</f>
        <v>0</v>
      </c>
      <c r="CC73" s="28">
        <f>PROGRAMADO!CC73/'Anexo '!$M$20</f>
        <v>0</v>
      </c>
      <c r="CD73" s="28">
        <f>PROGRAMADO!CD73/'Anexo '!$M$20</f>
        <v>0</v>
      </c>
      <c r="CE73" s="28">
        <f>PROGRAMADO!CE73/'Anexo '!$M$20</f>
        <v>0</v>
      </c>
      <c r="CF73" s="28">
        <f>PROGRAMADO!CF73/'Anexo '!$M$20</f>
        <v>0</v>
      </c>
      <c r="CG73" s="28">
        <f>PROGRAMADO!CG73/'Anexo '!$M$20</f>
        <v>0</v>
      </c>
      <c r="CH73" s="28">
        <f>PROGRAMADO!CH73/'Anexo '!$M$20</f>
        <v>0</v>
      </c>
      <c r="CI73" s="29">
        <f>PROGRAMADO!CI73/'Anexo '!$M$20</f>
        <v>0</v>
      </c>
    </row>
    <row r="74" spans="1:87" x14ac:dyDescent="0.25">
      <c r="A74" s="23" t="s">
        <v>115</v>
      </c>
      <c r="B74" s="28">
        <f>PROGRAMADO!B74/'Anexo '!$B$20</f>
        <v>0</v>
      </c>
      <c r="C74" s="28">
        <f>PROGRAMADO!C74/'Anexo '!$B$20</f>
        <v>0</v>
      </c>
      <c r="D74" s="28">
        <f>PROGRAMADO!D74/'Anexo '!$B$20</f>
        <v>0</v>
      </c>
      <c r="E74" s="28">
        <f>PROGRAMADO!E74/'Anexo '!$B$20</f>
        <v>0</v>
      </c>
      <c r="F74" s="28">
        <f>PROGRAMADO!F74/'Anexo '!$B$20</f>
        <v>0</v>
      </c>
      <c r="G74" s="28">
        <f>PROGRAMADO!G74/'Anexo '!$B$20</f>
        <v>0</v>
      </c>
      <c r="H74" s="28">
        <f>PROGRAMADO!H74/'Anexo '!$B$20</f>
        <v>0</v>
      </c>
      <c r="I74" s="28">
        <f>PROGRAMADO!I74/'Anexo '!$C$20</f>
        <v>0</v>
      </c>
      <c r="J74" s="28">
        <f>PROGRAMADO!J74/'Anexo '!$C$20</f>
        <v>0</v>
      </c>
      <c r="K74" s="28">
        <f>PROGRAMADO!K74/'Anexo '!$C$20</f>
        <v>0</v>
      </c>
      <c r="L74" s="28">
        <f>PROGRAMADO!L74/'Anexo '!$C$20</f>
        <v>0</v>
      </c>
      <c r="M74" s="28">
        <f>PROGRAMADO!M74/'Anexo '!$C$20</f>
        <v>0</v>
      </c>
      <c r="N74" s="28">
        <f>PROGRAMADO!N74/'Anexo '!$C$20</f>
        <v>0</v>
      </c>
      <c r="O74" s="28">
        <f>PROGRAMADO!O74/'Anexo '!$C$20</f>
        <v>0</v>
      </c>
      <c r="P74" s="28">
        <f>PROGRAMADO!P74/'Anexo '!$D$20</f>
        <v>0</v>
      </c>
      <c r="Q74" s="28">
        <f>PROGRAMADO!Q74/'Anexo '!$D$20</f>
        <v>0</v>
      </c>
      <c r="R74" s="28">
        <f>PROGRAMADO!R74/'Anexo '!$D$20</f>
        <v>0</v>
      </c>
      <c r="S74" s="28">
        <f>PROGRAMADO!S74/'Anexo '!$D$20</f>
        <v>0</v>
      </c>
      <c r="T74" s="28">
        <f>PROGRAMADO!T74/'Anexo '!$D$20</f>
        <v>0</v>
      </c>
      <c r="U74" s="28">
        <f>PROGRAMADO!U74/'Anexo '!$D$20</f>
        <v>0</v>
      </c>
      <c r="V74" s="28">
        <f>PROGRAMADO!V74/'Anexo '!$D$20</f>
        <v>0</v>
      </c>
      <c r="W74" s="28">
        <f>PROGRAMADO!W74/'Anexo '!$E$13</f>
        <v>0</v>
      </c>
      <c r="X74" s="28">
        <f>PROGRAMADO!X74/'Anexo '!$E$13</f>
        <v>0</v>
      </c>
      <c r="Y74" s="28">
        <f>PROGRAMADO!Y74/'Anexo '!$E$13</f>
        <v>0</v>
      </c>
      <c r="Z74" s="28">
        <f>PROGRAMADO!Z74/'Anexo '!$E$13</f>
        <v>0</v>
      </c>
      <c r="AA74" s="28">
        <f>PROGRAMADO!AA74/'Anexo '!$E$13</f>
        <v>0</v>
      </c>
      <c r="AB74" s="28">
        <f>PROGRAMADO!AB74/'Anexo '!$E$13</f>
        <v>0</v>
      </c>
      <c r="AC74" s="28">
        <f>PROGRAMADO!AC74/'Anexo '!$E$13</f>
        <v>0</v>
      </c>
      <c r="AD74" s="28">
        <f>PROGRAMADO!AD74/'Anexo '!$F$20</f>
        <v>0</v>
      </c>
      <c r="AE74" s="28">
        <f>PROGRAMADO!AE74/'Anexo '!$F$20</f>
        <v>0</v>
      </c>
      <c r="AF74" s="28">
        <f>PROGRAMADO!AF74/'Anexo '!$F$20</f>
        <v>0</v>
      </c>
      <c r="AG74" s="28">
        <f>PROGRAMADO!AG74/'Anexo '!$F$20</f>
        <v>0</v>
      </c>
      <c r="AH74" s="28">
        <f>PROGRAMADO!AH74/'Anexo '!$F$20</f>
        <v>0</v>
      </c>
      <c r="AI74" s="28">
        <f>PROGRAMADO!AI74/'Anexo '!$F$20</f>
        <v>0</v>
      </c>
      <c r="AJ74" s="28">
        <f>PROGRAMADO!AJ74/'Anexo '!$F$20</f>
        <v>0</v>
      </c>
      <c r="AK74" s="28">
        <f>PROGRAMADO!AK74/'Anexo '!$G$20</f>
        <v>0</v>
      </c>
      <c r="AL74" s="28">
        <f>PROGRAMADO!AL74/'Anexo '!$G$20</f>
        <v>0</v>
      </c>
      <c r="AM74" s="28">
        <f>PROGRAMADO!AM74/'Anexo '!$G$20</f>
        <v>0</v>
      </c>
      <c r="AN74" s="28">
        <f>PROGRAMADO!AN74/'Anexo '!$G$20</f>
        <v>0</v>
      </c>
      <c r="AO74" s="28">
        <f>PROGRAMADO!AO74/'Anexo '!$G$20</f>
        <v>0</v>
      </c>
      <c r="AP74" s="28">
        <f>PROGRAMADO!AP74/'Anexo '!$G$20</f>
        <v>0</v>
      </c>
      <c r="AQ74" s="28">
        <f>PROGRAMADO!AQ74/'Anexo '!$G$20</f>
        <v>0</v>
      </c>
      <c r="AR74" s="28">
        <f>PROGRAMADO!AR74/'Anexo '!$H$20</f>
        <v>0</v>
      </c>
      <c r="AS74" s="28">
        <f>PROGRAMADO!AS74/'Anexo '!$H$20</f>
        <v>0</v>
      </c>
      <c r="AT74" s="28">
        <f>PROGRAMADO!AT74/'Anexo '!$H$20</f>
        <v>0</v>
      </c>
      <c r="AU74" s="28">
        <f>PROGRAMADO!AU74/'Anexo '!$H$20</f>
        <v>0</v>
      </c>
      <c r="AV74" s="28">
        <f>PROGRAMADO!AV74/'Anexo '!$H$20</f>
        <v>0</v>
      </c>
      <c r="AW74" s="28">
        <f>PROGRAMADO!AW74/'Anexo '!$H$20</f>
        <v>0</v>
      </c>
      <c r="AX74" s="28">
        <f>PROGRAMADO!AX74/'Anexo '!$H$20</f>
        <v>0</v>
      </c>
      <c r="AY74" s="28">
        <f>PROGRAMADO!AY74/'Anexo '!$I$20</f>
        <v>0</v>
      </c>
      <c r="AZ74" s="28">
        <f>PROGRAMADO!AZ74/'Anexo '!$I$20</f>
        <v>0</v>
      </c>
      <c r="BA74" s="28">
        <f>PROGRAMADO!BA74/'Anexo '!$I$20</f>
        <v>0</v>
      </c>
      <c r="BB74" s="28">
        <f>PROGRAMADO!BB74/'Anexo '!$I$20</f>
        <v>0</v>
      </c>
      <c r="BC74" s="28">
        <f>PROGRAMADO!BC74/'Anexo '!$I$20</f>
        <v>0</v>
      </c>
      <c r="BD74" s="28">
        <f>PROGRAMADO!BD74/'Anexo '!$I$20</f>
        <v>0</v>
      </c>
      <c r="BE74" s="28">
        <f>PROGRAMADO!BE74/'Anexo '!$I$20</f>
        <v>0</v>
      </c>
      <c r="BF74" s="28">
        <f>PROGRAMADO!BF74/'Anexo '!$J$20</f>
        <v>0</v>
      </c>
      <c r="BG74" s="28">
        <f>PROGRAMADO!BG74/'Anexo '!$J$20</f>
        <v>0</v>
      </c>
      <c r="BH74" s="28">
        <f>PROGRAMADO!BH74/'Anexo '!$J$20</f>
        <v>0</v>
      </c>
      <c r="BI74" s="28">
        <f>PROGRAMADO!BI74/'Anexo '!$J$20</f>
        <v>0</v>
      </c>
      <c r="BJ74" s="28">
        <f>PROGRAMADO!BJ74/'Anexo '!$J$20</f>
        <v>0</v>
      </c>
      <c r="BK74" s="28">
        <f>PROGRAMADO!BK74/'Anexo '!$J$20</f>
        <v>0</v>
      </c>
      <c r="BL74" s="28">
        <f>PROGRAMADO!BL74/'Anexo '!$J$20</f>
        <v>0</v>
      </c>
      <c r="BM74" s="28">
        <f>PROGRAMADO!BM74/'Anexo '!$K$20</f>
        <v>0</v>
      </c>
      <c r="BN74" s="28">
        <f>PROGRAMADO!BN74/'Anexo '!$K$20</f>
        <v>15777755.705941368</v>
      </c>
      <c r="BO74" s="28">
        <f>PROGRAMADO!BO74/'Anexo '!$K$20</f>
        <v>15777755.705941368</v>
      </c>
      <c r="BP74" s="28">
        <f>PROGRAMADO!BP74/'Anexo '!$K$20</f>
        <v>0</v>
      </c>
      <c r="BQ74" s="28">
        <f>PROGRAMADO!BQ74/'Anexo '!$K$20</f>
        <v>0</v>
      </c>
      <c r="BR74" s="28">
        <f>PROGRAMADO!BR74/'Anexo '!$K$20</f>
        <v>0</v>
      </c>
      <c r="BS74" s="28">
        <f>PROGRAMADO!BS74/'Anexo '!$K$20</f>
        <v>15777755.705941368</v>
      </c>
      <c r="BT74" s="28">
        <f>PROGRAMADO!BT74/'Anexo '!$L$20</f>
        <v>0</v>
      </c>
      <c r="BU74" s="28">
        <f>PROGRAMADO!BU74/'Anexo '!$L$20</f>
        <v>0</v>
      </c>
      <c r="BV74" s="28">
        <f>PROGRAMADO!BV74/'Anexo '!$L$20</f>
        <v>0</v>
      </c>
      <c r="BW74" s="28">
        <f>PROGRAMADO!BW74/'Anexo '!$L$20</f>
        <v>0</v>
      </c>
      <c r="BX74" s="28">
        <f>PROGRAMADO!BX74/'Anexo '!$L$20</f>
        <v>0</v>
      </c>
      <c r="BY74" s="28">
        <f>PROGRAMADO!BY74/'Anexo '!$L$20</f>
        <v>0</v>
      </c>
      <c r="BZ74" s="28">
        <f>PROGRAMADO!BZ74/'Anexo '!$L$20</f>
        <v>0</v>
      </c>
      <c r="CA74" s="28">
        <f>PROGRAMADO!CA74/'Anexo '!$L$20</f>
        <v>0</v>
      </c>
      <c r="CB74" s="28">
        <f>PROGRAMADO!CB74/'Anexo '!$M$20</f>
        <v>0</v>
      </c>
      <c r="CC74" s="28">
        <f>PROGRAMADO!CC74/'Anexo '!$M$20</f>
        <v>0</v>
      </c>
      <c r="CD74" s="28">
        <f>PROGRAMADO!CD74/'Anexo '!$M$20</f>
        <v>0</v>
      </c>
      <c r="CE74" s="28">
        <f>PROGRAMADO!CE74/'Anexo '!$M$20</f>
        <v>0</v>
      </c>
      <c r="CF74" s="28">
        <f>PROGRAMADO!CF74/'Anexo '!$M$20</f>
        <v>0</v>
      </c>
      <c r="CG74" s="28">
        <f>PROGRAMADO!CG74/'Anexo '!$M$20</f>
        <v>0</v>
      </c>
      <c r="CH74" s="28">
        <f>PROGRAMADO!CH74/'Anexo '!$M$20</f>
        <v>0</v>
      </c>
      <c r="CI74" s="29">
        <f>PROGRAMADO!CI74/'Anexo '!$M$20</f>
        <v>0</v>
      </c>
    </row>
    <row r="75" spans="1:87" x14ac:dyDescent="0.25">
      <c r="A75" s="23" t="s">
        <v>116</v>
      </c>
      <c r="B75" s="28">
        <f>PROGRAMADO!B75/'Anexo '!$B$20</f>
        <v>0</v>
      </c>
      <c r="C75" s="28">
        <f>PROGRAMADO!C75/'Anexo '!$B$20</f>
        <v>0</v>
      </c>
      <c r="D75" s="28">
        <f>PROGRAMADO!D75/'Anexo '!$B$20</f>
        <v>0</v>
      </c>
      <c r="E75" s="28">
        <f>PROGRAMADO!E75/'Anexo '!$B$20</f>
        <v>0</v>
      </c>
      <c r="F75" s="28">
        <f>PROGRAMADO!F75/'Anexo '!$B$20</f>
        <v>0</v>
      </c>
      <c r="G75" s="28">
        <f>PROGRAMADO!G75/'Anexo '!$B$20</f>
        <v>0</v>
      </c>
      <c r="H75" s="28">
        <f>PROGRAMADO!H75/'Anexo '!$B$20</f>
        <v>0</v>
      </c>
      <c r="I75" s="28">
        <f>PROGRAMADO!I75/'Anexo '!$C$20</f>
        <v>0</v>
      </c>
      <c r="J75" s="28">
        <f>PROGRAMADO!J75/'Anexo '!$C$20</f>
        <v>0</v>
      </c>
      <c r="K75" s="28">
        <f>PROGRAMADO!K75/'Anexo '!$C$20</f>
        <v>0</v>
      </c>
      <c r="L75" s="28">
        <f>PROGRAMADO!L75/'Anexo '!$C$20</f>
        <v>0</v>
      </c>
      <c r="M75" s="28">
        <f>PROGRAMADO!M75/'Anexo '!$C$20</f>
        <v>0</v>
      </c>
      <c r="N75" s="28">
        <f>PROGRAMADO!N75/'Anexo '!$C$20</f>
        <v>0</v>
      </c>
      <c r="O75" s="28">
        <f>PROGRAMADO!O75/'Anexo '!$C$20</f>
        <v>0</v>
      </c>
      <c r="P75" s="28">
        <f>PROGRAMADO!P75/'Anexo '!$D$20</f>
        <v>0</v>
      </c>
      <c r="Q75" s="28">
        <f>PROGRAMADO!Q75/'Anexo '!$D$20</f>
        <v>0</v>
      </c>
      <c r="R75" s="28">
        <f>PROGRAMADO!R75/'Anexo '!$D$20</f>
        <v>0</v>
      </c>
      <c r="S75" s="28">
        <f>PROGRAMADO!S75/'Anexo '!$D$20</f>
        <v>0</v>
      </c>
      <c r="T75" s="28">
        <f>PROGRAMADO!T75/'Anexo '!$D$20</f>
        <v>0</v>
      </c>
      <c r="U75" s="28">
        <f>PROGRAMADO!U75/'Anexo '!$D$20</f>
        <v>0</v>
      </c>
      <c r="V75" s="28">
        <f>PROGRAMADO!V75/'Anexo '!$D$20</f>
        <v>0</v>
      </c>
      <c r="W75" s="28">
        <f>PROGRAMADO!W75/'Anexo '!$E$13</f>
        <v>0</v>
      </c>
      <c r="X75" s="28">
        <f>PROGRAMADO!X75/'Anexo '!$E$13</f>
        <v>0</v>
      </c>
      <c r="Y75" s="28">
        <f>PROGRAMADO!Y75/'Anexo '!$E$13</f>
        <v>0</v>
      </c>
      <c r="Z75" s="28">
        <f>PROGRAMADO!Z75/'Anexo '!$E$13</f>
        <v>0</v>
      </c>
      <c r="AA75" s="28">
        <f>PROGRAMADO!AA75/'Anexo '!$E$13</f>
        <v>0</v>
      </c>
      <c r="AB75" s="28">
        <f>PROGRAMADO!AB75/'Anexo '!$E$13</f>
        <v>0</v>
      </c>
      <c r="AC75" s="28">
        <f>PROGRAMADO!AC75/'Anexo '!$E$13</f>
        <v>0</v>
      </c>
      <c r="AD75" s="28">
        <f>PROGRAMADO!AD75/'Anexo '!$F$20</f>
        <v>0</v>
      </c>
      <c r="AE75" s="28">
        <f>PROGRAMADO!AE75/'Anexo '!$F$20</f>
        <v>0</v>
      </c>
      <c r="AF75" s="28">
        <f>PROGRAMADO!AF75/'Anexo '!$F$20</f>
        <v>0</v>
      </c>
      <c r="AG75" s="28">
        <f>PROGRAMADO!AG75/'Anexo '!$F$20</f>
        <v>0</v>
      </c>
      <c r="AH75" s="28">
        <f>PROGRAMADO!AH75/'Anexo '!$F$20</f>
        <v>0</v>
      </c>
      <c r="AI75" s="28">
        <f>PROGRAMADO!AI75/'Anexo '!$F$20</f>
        <v>0</v>
      </c>
      <c r="AJ75" s="28">
        <f>PROGRAMADO!AJ75/'Anexo '!$F$20</f>
        <v>0</v>
      </c>
      <c r="AK75" s="28">
        <f>PROGRAMADO!AK75/'Anexo '!$G$20</f>
        <v>0</v>
      </c>
      <c r="AL75" s="28">
        <f>PROGRAMADO!AL75/'Anexo '!$G$20</f>
        <v>0</v>
      </c>
      <c r="AM75" s="28">
        <f>PROGRAMADO!AM75/'Anexo '!$G$20</f>
        <v>0</v>
      </c>
      <c r="AN75" s="28">
        <f>PROGRAMADO!AN75/'Anexo '!$G$20</f>
        <v>0</v>
      </c>
      <c r="AO75" s="28">
        <f>PROGRAMADO!AO75/'Anexo '!$G$20</f>
        <v>0</v>
      </c>
      <c r="AP75" s="28">
        <f>PROGRAMADO!AP75/'Anexo '!$G$20</f>
        <v>0</v>
      </c>
      <c r="AQ75" s="28">
        <f>PROGRAMADO!AQ75/'Anexo '!$G$20</f>
        <v>0</v>
      </c>
      <c r="AR75" s="28">
        <f>PROGRAMADO!AR75/'Anexo '!$H$20</f>
        <v>0</v>
      </c>
      <c r="AS75" s="28">
        <f>PROGRAMADO!AS75/'Anexo '!$H$20</f>
        <v>0</v>
      </c>
      <c r="AT75" s="28">
        <f>PROGRAMADO!AT75/'Anexo '!$H$20</f>
        <v>0</v>
      </c>
      <c r="AU75" s="28">
        <f>PROGRAMADO!AU75/'Anexo '!$H$20</f>
        <v>0</v>
      </c>
      <c r="AV75" s="28">
        <f>PROGRAMADO!AV75/'Anexo '!$H$20</f>
        <v>0</v>
      </c>
      <c r="AW75" s="28">
        <f>PROGRAMADO!AW75/'Anexo '!$H$20</f>
        <v>0</v>
      </c>
      <c r="AX75" s="28">
        <f>PROGRAMADO!AX75/'Anexo '!$H$20</f>
        <v>0</v>
      </c>
      <c r="AY75" s="28">
        <f>PROGRAMADO!AY75/'Anexo '!$I$20</f>
        <v>0</v>
      </c>
      <c r="AZ75" s="28">
        <f>PROGRAMADO!AZ75/'Anexo '!$I$20</f>
        <v>0</v>
      </c>
      <c r="BA75" s="28">
        <f>PROGRAMADO!BA75/'Anexo '!$I$20</f>
        <v>0</v>
      </c>
      <c r="BB75" s="28">
        <f>PROGRAMADO!BB75/'Anexo '!$I$20</f>
        <v>0</v>
      </c>
      <c r="BC75" s="28">
        <f>PROGRAMADO!BC75/'Anexo '!$I$20</f>
        <v>0</v>
      </c>
      <c r="BD75" s="28">
        <f>PROGRAMADO!BD75/'Anexo '!$I$20</f>
        <v>0</v>
      </c>
      <c r="BE75" s="28">
        <f>PROGRAMADO!BE75/'Anexo '!$I$20</f>
        <v>0</v>
      </c>
      <c r="BF75" s="28">
        <f>PROGRAMADO!BF75/'Anexo '!$J$20</f>
        <v>0</v>
      </c>
      <c r="BG75" s="28">
        <f>PROGRAMADO!BG75/'Anexo '!$J$20</f>
        <v>0</v>
      </c>
      <c r="BH75" s="28">
        <f>PROGRAMADO!BH75/'Anexo '!$J$20</f>
        <v>0</v>
      </c>
      <c r="BI75" s="28">
        <f>PROGRAMADO!BI75/'Anexo '!$J$20</f>
        <v>0</v>
      </c>
      <c r="BJ75" s="28">
        <f>PROGRAMADO!BJ75/'Anexo '!$J$20</f>
        <v>0</v>
      </c>
      <c r="BK75" s="28">
        <f>PROGRAMADO!BK75/'Anexo '!$J$20</f>
        <v>0</v>
      </c>
      <c r="BL75" s="28">
        <f>PROGRAMADO!BL75/'Anexo '!$J$20</f>
        <v>0</v>
      </c>
      <c r="BM75" s="28">
        <f>PROGRAMADO!BM75/'Anexo '!$K$20</f>
        <v>0</v>
      </c>
      <c r="BN75" s="28">
        <f>PROGRAMADO!BN75/'Anexo '!$K$20</f>
        <v>8693543.3939736933</v>
      </c>
      <c r="BO75" s="28">
        <f>PROGRAMADO!BO75/'Anexo '!$K$20</f>
        <v>8693543.3939736933</v>
      </c>
      <c r="BP75" s="28">
        <f>PROGRAMADO!BP75/'Anexo '!$K$20</f>
        <v>0</v>
      </c>
      <c r="BQ75" s="28">
        <f>PROGRAMADO!BQ75/'Anexo '!$K$20</f>
        <v>0</v>
      </c>
      <c r="BR75" s="28">
        <f>PROGRAMADO!BR75/'Anexo '!$K$20</f>
        <v>0</v>
      </c>
      <c r="BS75" s="28">
        <f>PROGRAMADO!BS75/'Anexo '!$K$20</f>
        <v>8693543.3939736933</v>
      </c>
      <c r="BT75" s="28">
        <f>PROGRAMADO!BT75/'Anexo '!$L$20</f>
        <v>0</v>
      </c>
      <c r="BU75" s="28">
        <f>PROGRAMADO!BU75/'Anexo '!$L$20</f>
        <v>0</v>
      </c>
      <c r="BV75" s="28">
        <f>PROGRAMADO!BV75/'Anexo '!$L$20</f>
        <v>0</v>
      </c>
      <c r="BW75" s="28">
        <f>PROGRAMADO!BW75/'Anexo '!$L$20</f>
        <v>0</v>
      </c>
      <c r="BX75" s="28">
        <f>PROGRAMADO!BX75/'Anexo '!$L$20</f>
        <v>0</v>
      </c>
      <c r="BY75" s="28">
        <f>PROGRAMADO!BY75/'Anexo '!$L$20</f>
        <v>0</v>
      </c>
      <c r="BZ75" s="28">
        <f>PROGRAMADO!BZ75/'Anexo '!$L$20</f>
        <v>0</v>
      </c>
      <c r="CA75" s="28">
        <f>PROGRAMADO!CA75/'Anexo '!$L$20</f>
        <v>0</v>
      </c>
      <c r="CB75" s="28">
        <f>PROGRAMADO!CB75/'Anexo '!$M$20</f>
        <v>0</v>
      </c>
      <c r="CC75" s="28">
        <f>PROGRAMADO!CC75/'Anexo '!$M$20</f>
        <v>0</v>
      </c>
      <c r="CD75" s="28">
        <f>PROGRAMADO!CD75/'Anexo '!$M$20</f>
        <v>0</v>
      </c>
      <c r="CE75" s="28">
        <f>PROGRAMADO!CE75/'Anexo '!$M$20</f>
        <v>0</v>
      </c>
      <c r="CF75" s="28">
        <f>PROGRAMADO!CF75/'Anexo '!$M$20</f>
        <v>0</v>
      </c>
      <c r="CG75" s="28">
        <f>PROGRAMADO!CG75/'Anexo '!$M$20</f>
        <v>0</v>
      </c>
      <c r="CH75" s="28">
        <f>PROGRAMADO!CH75/'Anexo '!$M$20</f>
        <v>0</v>
      </c>
      <c r="CI75" s="29">
        <f>PROGRAMADO!CI75/'Anexo '!$M$20</f>
        <v>0</v>
      </c>
    </row>
    <row r="76" spans="1:87" x14ac:dyDescent="0.25">
      <c r="A76" s="23" t="s">
        <v>117</v>
      </c>
      <c r="B76" s="28">
        <f>PROGRAMADO!B76/'Anexo '!$B$20</f>
        <v>0</v>
      </c>
      <c r="C76" s="28">
        <f>PROGRAMADO!C76/'Anexo '!$B$20</f>
        <v>0</v>
      </c>
      <c r="D76" s="28">
        <f>PROGRAMADO!D76/'Anexo '!$B$20</f>
        <v>0</v>
      </c>
      <c r="E76" s="28">
        <f>PROGRAMADO!E76/'Anexo '!$B$20</f>
        <v>0</v>
      </c>
      <c r="F76" s="28">
        <f>PROGRAMADO!F76/'Anexo '!$B$20</f>
        <v>0</v>
      </c>
      <c r="G76" s="28">
        <f>PROGRAMADO!G76/'Anexo '!$B$20</f>
        <v>0</v>
      </c>
      <c r="H76" s="28">
        <f>PROGRAMADO!H76/'Anexo '!$B$20</f>
        <v>0</v>
      </c>
      <c r="I76" s="28">
        <f>PROGRAMADO!I76/'Anexo '!$C$20</f>
        <v>0</v>
      </c>
      <c r="J76" s="28">
        <f>PROGRAMADO!J76/'Anexo '!$C$20</f>
        <v>0</v>
      </c>
      <c r="K76" s="28">
        <f>PROGRAMADO!K76/'Anexo '!$C$20</f>
        <v>0</v>
      </c>
      <c r="L76" s="28">
        <f>PROGRAMADO!L76/'Anexo '!$C$20</f>
        <v>0</v>
      </c>
      <c r="M76" s="28">
        <f>PROGRAMADO!M76/'Anexo '!$C$20</f>
        <v>0</v>
      </c>
      <c r="N76" s="28">
        <f>PROGRAMADO!N76/'Anexo '!$C$20</f>
        <v>0</v>
      </c>
      <c r="O76" s="28">
        <f>PROGRAMADO!O76/'Anexo '!$C$20</f>
        <v>0</v>
      </c>
      <c r="P76" s="28">
        <f>PROGRAMADO!P76/'Anexo '!$D$20</f>
        <v>0</v>
      </c>
      <c r="Q76" s="28">
        <f>PROGRAMADO!Q76/'Anexo '!$D$20</f>
        <v>0</v>
      </c>
      <c r="R76" s="28">
        <f>PROGRAMADO!R76/'Anexo '!$D$20</f>
        <v>0</v>
      </c>
      <c r="S76" s="28">
        <f>PROGRAMADO!S76/'Anexo '!$D$20</f>
        <v>0</v>
      </c>
      <c r="T76" s="28">
        <f>PROGRAMADO!T76/'Anexo '!$D$20</f>
        <v>0</v>
      </c>
      <c r="U76" s="28">
        <f>PROGRAMADO!U76/'Anexo '!$D$20</f>
        <v>0</v>
      </c>
      <c r="V76" s="28">
        <f>PROGRAMADO!V76/'Anexo '!$D$20</f>
        <v>0</v>
      </c>
      <c r="W76" s="28">
        <f>PROGRAMADO!W76/'Anexo '!$E$13</f>
        <v>0</v>
      </c>
      <c r="X76" s="28">
        <f>PROGRAMADO!X76/'Anexo '!$E$13</f>
        <v>0</v>
      </c>
      <c r="Y76" s="28">
        <f>PROGRAMADO!Y76/'Anexo '!$E$13</f>
        <v>0</v>
      </c>
      <c r="Z76" s="28">
        <f>PROGRAMADO!Z76/'Anexo '!$E$13</f>
        <v>0</v>
      </c>
      <c r="AA76" s="28">
        <f>PROGRAMADO!AA76/'Anexo '!$E$13</f>
        <v>0</v>
      </c>
      <c r="AB76" s="28">
        <f>PROGRAMADO!AB76/'Anexo '!$E$13</f>
        <v>0</v>
      </c>
      <c r="AC76" s="28">
        <f>PROGRAMADO!AC76/'Anexo '!$E$13</f>
        <v>0</v>
      </c>
      <c r="AD76" s="28">
        <f>PROGRAMADO!AD76/'Anexo '!$F$20</f>
        <v>0</v>
      </c>
      <c r="AE76" s="28">
        <f>PROGRAMADO!AE76/'Anexo '!$F$20</f>
        <v>0</v>
      </c>
      <c r="AF76" s="28">
        <f>PROGRAMADO!AF76/'Anexo '!$F$20</f>
        <v>0</v>
      </c>
      <c r="AG76" s="28">
        <f>PROGRAMADO!AG76/'Anexo '!$F$20</f>
        <v>0</v>
      </c>
      <c r="AH76" s="28">
        <f>PROGRAMADO!AH76/'Anexo '!$F$20</f>
        <v>0</v>
      </c>
      <c r="AI76" s="28">
        <f>PROGRAMADO!AI76/'Anexo '!$F$20</f>
        <v>0</v>
      </c>
      <c r="AJ76" s="28">
        <f>PROGRAMADO!AJ76/'Anexo '!$F$20</f>
        <v>0</v>
      </c>
      <c r="AK76" s="28">
        <f>PROGRAMADO!AK76/'Anexo '!$G$20</f>
        <v>0</v>
      </c>
      <c r="AL76" s="28">
        <f>PROGRAMADO!AL76/'Anexo '!$G$20</f>
        <v>0</v>
      </c>
      <c r="AM76" s="28">
        <f>PROGRAMADO!AM76/'Anexo '!$G$20</f>
        <v>0</v>
      </c>
      <c r="AN76" s="28">
        <f>PROGRAMADO!AN76/'Anexo '!$G$20</f>
        <v>0</v>
      </c>
      <c r="AO76" s="28">
        <f>PROGRAMADO!AO76/'Anexo '!$G$20</f>
        <v>0</v>
      </c>
      <c r="AP76" s="28">
        <f>PROGRAMADO!AP76/'Anexo '!$G$20</f>
        <v>0</v>
      </c>
      <c r="AQ76" s="28">
        <f>PROGRAMADO!AQ76/'Anexo '!$G$20</f>
        <v>0</v>
      </c>
      <c r="AR76" s="28">
        <f>PROGRAMADO!AR76/'Anexo '!$H$20</f>
        <v>0</v>
      </c>
      <c r="AS76" s="28">
        <f>PROGRAMADO!AS76/'Anexo '!$H$20</f>
        <v>0</v>
      </c>
      <c r="AT76" s="28">
        <f>PROGRAMADO!AT76/'Anexo '!$H$20</f>
        <v>0</v>
      </c>
      <c r="AU76" s="28">
        <f>PROGRAMADO!AU76/'Anexo '!$H$20</f>
        <v>0</v>
      </c>
      <c r="AV76" s="28">
        <f>PROGRAMADO!AV76/'Anexo '!$H$20</f>
        <v>0</v>
      </c>
      <c r="AW76" s="28">
        <f>PROGRAMADO!AW76/'Anexo '!$H$20</f>
        <v>0</v>
      </c>
      <c r="AX76" s="28">
        <f>PROGRAMADO!AX76/'Anexo '!$H$20</f>
        <v>0</v>
      </c>
      <c r="AY76" s="28">
        <f>PROGRAMADO!AY76/'Anexo '!$I$20</f>
        <v>0</v>
      </c>
      <c r="AZ76" s="28">
        <f>PROGRAMADO!AZ76/'Anexo '!$I$20</f>
        <v>0</v>
      </c>
      <c r="BA76" s="28">
        <f>PROGRAMADO!BA76/'Anexo '!$I$20</f>
        <v>0</v>
      </c>
      <c r="BB76" s="28">
        <f>PROGRAMADO!BB76/'Anexo '!$I$20</f>
        <v>0</v>
      </c>
      <c r="BC76" s="28">
        <f>PROGRAMADO!BC76/'Anexo '!$I$20</f>
        <v>0</v>
      </c>
      <c r="BD76" s="28">
        <f>PROGRAMADO!BD76/'Anexo '!$I$20</f>
        <v>0</v>
      </c>
      <c r="BE76" s="28">
        <f>PROGRAMADO!BE76/'Anexo '!$I$20</f>
        <v>0</v>
      </c>
      <c r="BF76" s="28">
        <f>PROGRAMADO!BF76/'Anexo '!$J$20</f>
        <v>0</v>
      </c>
      <c r="BG76" s="28">
        <f>PROGRAMADO!BG76/'Anexo '!$J$20</f>
        <v>0</v>
      </c>
      <c r="BH76" s="28">
        <f>PROGRAMADO!BH76/'Anexo '!$J$20</f>
        <v>0</v>
      </c>
      <c r="BI76" s="28">
        <f>PROGRAMADO!BI76/'Anexo '!$J$20</f>
        <v>0</v>
      </c>
      <c r="BJ76" s="28">
        <f>PROGRAMADO!BJ76/'Anexo '!$J$20</f>
        <v>0</v>
      </c>
      <c r="BK76" s="28">
        <f>PROGRAMADO!BK76/'Anexo '!$J$20</f>
        <v>0</v>
      </c>
      <c r="BL76" s="28">
        <f>PROGRAMADO!BL76/'Anexo '!$J$20</f>
        <v>0</v>
      </c>
      <c r="BM76" s="28">
        <f>PROGRAMADO!BM76/'Anexo '!$K$20</f>
        <v>0</v>
      </c>
      <c r="BN76" s="28">
        <f>PROGRAMADO!BN76/'Anexo '!$K$20</f>
        <v>12701093.343282802</v>
      </c>
      <c r="BO76" s="28">
        <f>PROGRAMADO!BO76/'Anexo '!$K$20</f>
        <v>12701093.343282802</v>
      </c>
      <c r="BP76" s="28">
        <f>PROGRAMADO!BP76/'Anexo '!$K$20</f>
        <v>0</v>
      </c>
      <c r="BQ76" s="28">
        <f>PROGRAMADO!BQ76/'Anexo '!$K$20</f>
        <v>0</v>
      </c>
      <c r="BR76" s="28">
        <f>PROGRAMADO!BR76/'Anexo '!$K$20</f>
        <v>0</v>
      </c>
      <c r="BS76" s="28">
        <f>PROGRAMADO!BS76/'Anexo '!$K$20</f>
        <v>12701093.343282802</v>
      </c>
      <c r="BT76" s="28">
        <f>PROGRAMADO!BT76/'Anexo '!$L$20</f>
        <v>0</v>
      </c>
      <c r="BU76" s="28">
        <f>PROGRAMADO!BU76/'Anexo '!$L$20</f>
        <v>0</v>
      </c>
      <c r="BV76" s="28">
        <f>PROGRAMADO!BV76/'Anexo '!$L$20</f>
        <v>0</v>
      </c>
      <c r="BW76" s="28">
        <f>PROGRAMADO!BW76/'Anexo '!$L$20</f>
        <v>0</v>
      </c>
      <c r="BX76" s="28">
        <f>PROGRAMADO!BX76/'Anexo '!$L$20</f>
        <v>0</v>
      </c>
      <c r="BY76" s="28">
        <f>PROGRAMADO!BY76/'Anexo '!$L$20</f>
        <v>0</v>
      </c>
      <c r="BZ76" s="28">
        <f>PROGRAMADO!BZ76/'Anexo '!$L$20</f>
        <v>0</v>
      </c>
      <c r="CA76" s="28">
        <f>PROGRAMADO!CA76/'Anexo '!$L$20</f>
        <v>0</v>
      </c>
      <c r="CB76" s="28">
        <f>PROGRAMADO!CB76/'Anexo '!$M$20</f>
        <v>0</v>
      </c>
      <c r="CC76" s="28">
        <f>PROGRAMADO!CC76/'Anexo '!$M$20</f>
        <v>0</v>
      </c>
      <c r="CD76" s="28">
        <f>PROGRAMADO!CD76/'Anexo '!$M$20</f>
        <v>0</v>
      </c>
      <c r="CE76" s="28">
        <f>PROGRAMADO!CE76/'Anexo '!$M$20</f>
        <v>0</v>
      </c>
      <c r="CF76" s="28">
        <f>PROGRAMADO!CF76/'Anexo '!$M$20</f>
        <v>0</v>
      </c>
      <c r="CG76" s="28">
        <f>PROGRAMADO!CG76/'Anexo '!$M$20</f>
        <v>0</v>
      </c>
      <c r="CH76" s="28">
        <f>PROGRAMADO!CH76/'Anexo '!$M$20</f>
        <v>0</v>
      </c>
      <c r="CI76" s="29">
        <f>PROGRAMADO!CI76/'Anexo '!$M$20</f>
        <v>0</v>
      </c>
    </row>
    <row r="77" spans="1:87" x14ac:dyDescent="0.25">
      <c r="A77" s="23" t="s">
        <v>118</v>
      </c>
      <c r="B77" s="28">
        <f>PROGRAMADO!B77/'Anexo '!$B$20</f>
        <v>0</v>
      </c>
      <c r="C77" s="28">
        <f>PROGRAMADO!C77/'Anexo '!$B$20</f>
        <v>0</v>
      </c>
      <c r="D77" s="28">
        <f>PROGRAMADO!D77/'Anexo '!$B$20</f>
        <v>0</v>
      </c>
      <c r="E77" s="28">
        <f>PROGRAMADO!E77/'Anexo '!$B$20</f>
        <v>0</v>
      </c>
      <c r="F77" s="28">
        <f>PROGRAMADO!F77/'Anexo '!$B$20</f>
        <v>0</v>
      </c>
      <c r="G77" s="28">
        <f>PROGRAMADO!G77/'Anexo '!$B$20</f>
        <v>0</v>
      </c>
      <c r="H77" s="28">
        <f>PROGRAMADO!H77/'Anexo '!$B$20</f>
        <v>0</v>
      </c>
      <c r="I77" s="28">
        <f>PROGRAMADO!I77/'Anexo '!$C$20</f>
        <v>0</v>
      </c>
      <c r="J77" s="28">
        <f>PROGRAMADO!J77/'Anexo '!$C$20</f>
        <v>0</v>
      </c>
      <c r="K77" s="28">
        <f>PROGRAMADO!K77/'Anexo '!$C$20</f>
        <v>0</v>
      </c>
      <c r="L77" s="28">
        <f>PROGRAMADO!L77/'Anexo '!$C$20</f>
        <v>0</v>
      </c>
      <c r="M77" s="28">
        <f>PROGRAMADO!M77/'Anexo '!$C$20</f>
        <v>0</v>
      </c>
      <c r="N77" s="28">
        <f>PROGRAMADO!N77/'Anexo '!$C$20</f>
        <v>0</v>
      </c>
      <c r="O77" s="28">
        <f>PROGRAMADO!O77/'Anexo '!$C$20</f>
        <v>0</v>
      </c>
      <c r="P77" s="28">
        <f>PROGRAMADO!P77/'Anexo '!$D$20</f>
        <v>0</v>
      </c>
      <c r="Q77" s="28">
        <f>PROGRAMADO!Q77/'Anexo '!$D$20</f>
        <v>0</v>
      </c>
      <c r="R77" s="28">
        <f>PROGRAMADO!R77/'Anexo '!$D$20</f>
        <v>0</v>
      </c>
      <c r="S77" s="28">
        <f>PROGRAMADO!S77/'Anexo '!$D$20</f>
        <v>0</v>
      </c>
      <c r="T77" s="28">
        <f>PROGRAMADO!T77/'Anexo '!$D$20</f>
        <v>0</v>
      </c>
      <c r="U77" s="28">
        <f>PROGRAMADO!U77/'Anexo '!$D$20</f>
        <v>0</v>
      </c>
      <c r="V77" s="28">
        <f>PROGRAMADO!V77/'Anexo '!$D$20</f>
        <v>0</v>
      </c>
      <c r="W77" s="28">
        <f>PROGRAMADO!W77/'Anexo '!$E$13</f>
        <v>0</v>
      </c>
      <c r="X77" s="28">
        <f>PROGRAMADO!X77/'Anexo '!$E$13</f>
        <v>0</v>
      </c>
      <c r="Y77" s="28">
        <f>PROGRAMADO!Y77/'Anexo '!$E$13</f>
        <v>0</v>
      </c>
      <c r="Z77" s="28">
        <f>PROGRAMADO!Z77/'Anexo '!$E$13</f>
        <v>0</v>
      </c>
      <c r="AA77" s="28">
        <f>PROGRAMADO!AA77/'Anexo '!$E$13</f>
        <v>0</v>
      </c>
      <c r="AB77" s="28">
        <f>PROGRAMADO!AB77/'Anexo '!$E$13</f>
        <v>0</v>
      </c>
      <c r="AC77" s="28">
        <f>PROGRAMADO!AC77/'Anexo '!$E$13</f>
        <v>0</v>
      </c>
      <c r="AD77" s="28">
        <f>PROGRAMADO!AD77/'Anexo '!$F$20</f>
        <v>0</v>
      </c>
      <c r="AE77" s="28">
        <f>PROGRAMADO!AE77/'Anexo '!$F$20</f>
        <v>0</v>
      </c>
      <c r="AF77" s="28">
        <f>PROGRAMADO!AF77/'Anexo '!$F$20</f>
        <v>0</v>
      </c>
      <c r="AG77" s="28">
        <f>PROGRAMADO!AG77/'Anexo '!$F$20</f>
        <v>0</v>
      </c>
      <c r="AH77" s="28">
        <f>PROGRAMADO!AH77/'Anexo '!$F$20</f>
        <v>0</v>
      </c>
      <c r="AI77" s="28">
        <f>PROGRAMADO!AI77/'Anexo '!$F$20</f>
        <v>0</v>
      </c>
      <c r="AJ77" s="28">
        <f>PROGRAMADO!AJ77/'Anexo '!$F$20</f>
        <v>0</v>
      </c>
      <c r="AK77" s="28">
        <f>PROGRAMADO!AK77/'Anexo '!$G$20</f>
        <v>0</v>
      </c>
      <c r="AL77" s="28">
        <f>PROGRAMADO!AL77/'Anexo '!$G$20</f>
        <v>0</v>
      </c>
      <c r="AM77" s="28">
        <f>PROGRAMADO!AM77/'Anexo '!$G$20</f>
        <v>0</v>
      </c>
      <c r="AN77" s="28">
        <f>PROGRAMADO!AN77/'Anexo '!$G$20</f>
        <v>0</v>
      </c>
      <c r="AO77" s="28">
        <f>PROGRAMADO!AO77/'Anexo '!$G$20</f>
        <v>0</v>
      </c>
      <c r="AP77" s="28">
        <f>PROGRAMADO!AP77/'Anexo '!$G$20</f>
        <v>0</v>
      </c>
      <c r="AQ77" s="28">
        <f>PROGRAMADO!AQ77/'Anexo '!$G$20</f>
        <v>0</v>
      </c>
      <c r="AR77" s="28">
        <f>PROGRAMADO!AR77/'Anexo '!$H$20</f>
        <v>0</v>
      </c>
      <c r="AS77" s="28">
        <f>PROGRAMADO!AS77/'Anexo '!$H$20</f>
        <v>0</v>
      </c>
      <c r="AT77" s="28">
        <f>PROGRAMADO!AT77/'Anexo '!$H$20</f>
        <v>0</v>
      </c>
      <c r="AU77" s="28">
        <f>PROGRAMADO!AU77/'Anexo '!$H$20</f>
        <v>0</v>
      </c>
      <c r="AV77" s="28">
        <f>PROGRAMADO!AV77/'Anexo '!$H$20</f>
        <v>0</v>
      </c>
      <c r="AW77" s="28">
        <f>PROGRAMADO!AW77/'Anexo '!$H$20</f>
        <v>0</v>
      </c>
      <c r="AX77" s="28">
        <f>PROGRAMADO!AX77/'Anexo '!$H$20</f>
        <v>0</v>
      </c>
      <c r="AY77" s="28">
        <f>PROGRAMADO!AY77/'Anexo '!$I$20</f>
        <v>0</v>
      </c>
      <c r="AZ77" s="28">
        <f>PROGRAMADO!AZ77/'Anexo '!$I$20</f>
        <v>0</v>
      </c>
      <c r="BA77" s="28">
        <f>PROGRAMADO!BA77/'Anexo '!$I$20</f>
        <v>0</v>
      </c>
      <c r="BB77" s="28">
        <f>PROGRAMADO!BB77/'Anexo '!$I$20</f>
        <v>0</v>
      </c>
      <c r="BC77" s="28">
        <f>PROGRAMADO!BC77/'Anexo '!$I$20</f>
        <v>0</v>
      </c>
      <c r="BD77" s="28">
        <f>PROGRAMADO!BD77/'Anexo '!$I$20</f>
        <v>0</v>
      </c>
      <c r="BE77" s="28">
        <f>PROGRAMADO!BE77/'Anexo '!$I$20</f>
        <v>0</v>
      </c>
      <c r="BF77" s="28">
        <f>PROGRAMADO!BF77/'Anexo '!$J$20</f>
        <v>0</v>
      </c>
      <c r="BG77" s="28">
        <f>PROGRAMADO!BG77/'Anexo '!$J$20</f>
        <v>0</v>
      </c>
      <c r="BH77" s="28">
        <f>PROGRAMADO!BH77/'Anexo '!$J$20</f>
        <v>0</v>
      </c>
      <c r="BI77" s="28">
        <f>PROGRAMADO!BI77/'Anexo '!$J$20</f>
        <v>0</v>
      </c>
      <c r="BJ77" s="28">
        <f>PROGRAMADO!BJ77/'Anexo '!$J$20</f>
        <v>0</v>
      </c>
      <c r="BK77" s="28">
        <f>PROGRAMADO!BK77/'Anexo '!$J$20</f>
        <v>0</v>
      </c>
      <c r="BL77" s="28">
        <f>PROGRAMADO!BL77/'Anexo '!$J$20</f>
        <v>0</v>
      </c>
      <c r="BM77" s="28">
        <f>PROGRAMADO!BM77/'Anexo '!$K$20</f>
        <v>0</v>
      </c>
      <c r="BN77" s="28">
        <f>PROGRAMADO!BN77/'Anexo '!$K$20</f>
        <v>0</v>
      </c>
      <c r="BO77" s="28">
        <f>PROGRAMADO!BO77/'Anexo '!$K$20</f>
        <v>0</v>
      </c>
      <c r="BP77" s="28">
        <f>PROGRAMADO!BP77/'Anexo '!$K$20</f>
        <v>0</v>
      </c>
      <c r="BQ77" s="28">
        <f>PROGRAMADO!BQ77/'Anexo '!$K$20</f>
        <v>0</v>
      </c>
      <c r="BR77" s="28">
        <f>PROGRAMADO!BR77/'Anexo '!$K$20</f>
        <v>0</v>
      </c>
      <c r="BS77" s="28">
        <f>PROGRAMADO!BS77/'Anexo '!$K$20</f>
        <v>0</v>
      </c>
      <c r="BT77" s="28">
        <f>PROGRAMADO!BT77/'Anexo '!$L$20</f>
        <v>0</v>
      </c>
      <c r="BU77" s="28">
        <f>PROGRAMADO!BU77/'Anexo '!$L$20</f>
        <v>60630973.637530357</v>
      </c>
      <c r="BV77" s="28">
        <f>PROGRAMADO!BV77/'Anexo '!$L$20</f>
        <v>0</v>
      </c>
      <c r="BW77" s="28">
        <f>PROGRAMADO!BW77/'Anexo '!$L$20</f>
        <v>60630973.637530357</v>
      </c>
      <c r="BX77" s="28">
        <f>PROGRAMADO!BX77/'Anexo '!$L$20</f>
        <v>0</v>
      </c>
      <c r="BY77" s="28">
        <f>PROGRAMADO!BY77/'Anexo '!$L$20</f>
        <v>0</v>
      </c>
      <c r="BZ77" s="28">
        <f>PROGRAMADO!BZ77/'Anexo '!$L$20</f>
        <v>0</v>
      </c>
      <c r="CA77" s="28">
        <f>PROGRAMADO!CA77/'Anexo '!$L$20</f>
        <v>60630973.637530357</v>
      </c>
      <c r="CB77" s="28">
        <f>PROGRAMADO!CB77/'Anexo '!$M$20</f>
        <v>0</v>
      </c>
      <c r="CC77" s="28">
        <f>PROGRAMADO!CC77/'Anexo '!$M$20</f>
        <v>55932220.922189534</v>
      </c>
      <c r="CD77" s="28">
        <f>PROGRAMADO!CD77/'Anexo '!$M$20</f>
        <v>0</v>
      </c>
      <c r="CE77" s="28">
        <f>PROGRAMADO!CE77/'Anexo '!$M$20</f>
        <v>55932220.922189534</v>
      </c>
      <c r="CF77" s="28">
        <f>PROGRAMADO!CF77/'Anexo '!$M$20</f>
        <v>0</v>
      </c>
      <c r="CG77" s="28">
        <f>PROGRAMADO!CG77/'Anexo '!$M$20</f>
        <v>0</v>
      </c>
      <c r="CH77" s="28">
        <f>PROGRAMADO!CH77/'Anexo '!$M$20</f>
        <v>0</v>
      </c>
      <c r="CI77" s="29">
        <f>PROGRAMADO!CI77/'Anexo '!$M$20</f>
        <v>55932220.922189534</v>
      </c>
    </row>
    <row r="78" spans="1:87" ht="15.75" thickBot="1" x14ac:dyDescent="0.3">
      <c r="A78" s="24" t="s">
        <v>119</v>
      </c>
      <c r="B78" s="31">
        <f>PROGRAMADO!B78/'Anexo '!$B$20</f>
        <v>0</v>
      </c>
      <c r="C78" s="31">
        <f>PROGRAMADO!C78/'Anexo '!$B$20</f>
        <v>0</v>
      </c>
      <c r="D78" s="31">
        <f>PROGRAMADO!D78/'Anexo '!$B$20</f>
        <v>0</v>
      </c>
      <c r="E78" s="31">
        <f>PROGRAMADO!E78/'Anexo '!$B$20</f>
        <v>0</v>
      </c>
      <c r="F78" s="31">
        <f>PROGRAMADO!F78/'Anexo '!$B$20</f>
        <v>0</v>
      </c>
      <c r="G78" s="31">
        <f>PROGRAMADO!G78/'Anexo '!$B$20</f>
        <v>0</v>
      </c>
      <c r="H78" s="31">
        <f>PROGRAMADO!H78/'Anexo '!$B$20</f>
        <v>0</v>
      </c>
      <c r="I78" s="31">
        <f>PROGRAMADO!I78/'Anexo '!$C$20</f>
        <v>0</v>
      </c>
      <c r="J78" s="31">
        <f>PROGRAMADO!J78/'Anexo '!$C$20</f>
        <v>0</v>
      </c>
      <c r="K78" s="31">
        <f>PROGRAMADO!K78/'Anexo '!$C$20</f>
        <v>0</v>
      </c>
      <c r="L78" s="31">
        <f>PROGRAMADO!L78/'Anexo '!$C$20</f>
        <v>0</v>
      </c>
      <c r="M78" s="31">
        <f>PROGRAMADO!M78/'Anexo '!$C$20</f>
        <v>0</v>
      </c>
      <c r="N78" s="31">
        <f>PROGRAMADO!N78/'Anexo '!$C$20</f>
        <v>0</v>
      </c>
      <c r="O78" s="31">
        <f>PROGRAMADO!O78/'Anexo '!$C$20</f>
        <v>0</v>
      </c>
      <c r="P78" s="31">
        <f>PROGRAMADO!P78/'Anexo '!$D$20</f>
        <v>0</v>
      </c>
      <c r="Q78" s="31">
        <f>PROGRAMADO!Q78/'Anexo '!$D$20</f>
        <v>0</v>
      </c>
      <c r="R78" s="31">
        <f>PROGRAMADO!R78/'Anexo '!$D$20</f>
        <v>0</v>
      </c>
      <c r="S78" s="31">
        <f>PROGRAMADO!S78/'Anexo '!$D$20</f>
        <v>0</v>
      </c>
      <c r="T78" s="31">
        <f>PROGRAMADO!T78/'Anexo '!$D$20</f>
        <v>0</v>
      </c>
      <c r="U78" s="31">
        <f>PROGRAMADO!U78/'Anexo '!$D$20</f>
        <v>0</v>
      </c>
      <c r="V78" s="31">
        <f>PROGRAMADO!V78/'Anexo '!$D$20</f>
        <v>0</v>
      </c>
      <c r="W78" s="31">
        <f>PROGRAMADO!W78/'Anexo '!$E$13</f>
        <v>0</v>
      </c>
      <c r="X78" s="31">
        <f>PROGRAMADO!X78/'Anexo '!$E$13</f>
        <v>0</v>
      </c>
      <c r="Y78" s="31">
        <f>PROGRAMADO!Y78/'Anexo '!$E$13</f>
        <v>0</v>
      </c>
      <c r="Z78" s="31">
        <f>PROGRAMADO!Z78/'Anexo '!$E$13</f>
        <v>0</v>
      </c>
      <c r="AA78" s="31">
        <f>PROGRAMADO!AA78/'Anexo '!$E$13</f>
        <v>0</v>
      </c>
      <c r="AB78" s="31">
        <f>PROGRAMADO!AB78/'Anexo '!$E$13</f>
        <v>0</v>
      </c>
      <c r="AC78" s="31">
        <f>PROGRAMADO!AC78/'Anexo '!$E$13</f>
        <v>0</v>
      </c>
      <c r="AD78" s="31">
        <f>PROGRAMADO!AD78/'Anexo '!$F$20</f>
        <v>0</v>
      </c>
      <c r="AE78" s="31">
        <f>PROGRAMADO!AE78/'Anexo '!$F$20</f>
        <v>0</v>
      </c>
      <c r="AF78" s="31">
        <f>PROGRAMADO!AF78/'Anexo '!$F$20</f>
        <v>0</v>
      </c>
      <c r="AG78" s="31">
        <f>PROGRAMADO!AG78/'Anexo '!$F$20</f>
        <v>0</v>
      </c>
      <c r="AH78" s="31">
        <f>PROGRAMADO!AH78/'Anexo '!$F$20</f>
        <v>0</v>
      </c>
      <c r="AI78" s="31">
        <f>PROGRAMADO!AI78/'Anexo '!$F$20</f>
        <v>0</v>
      </c>
      <c r="AJ78" s="31">
        <f>PROGRAMADO!AJ78/'Anexo '!$F$20</f>
        <v>0</v>
      </c>
      <c r="AK78" s="31">
        <f>PROGRAMADO!AK78/'Anexo '!$G$20</f>
        <v>0</v>
      </c>
      <c r="AL78" s="31">
        <f>PROGRAMADO!AL78/'Anexo '!$G$20</f>
        <v>0</v>
      </c>
      <c r="AM78" s="31">
        <f>PROGRAMADO!AM78/'Anexo '!$G$20</f>
        <v>0</v>
      </c>
      <c r="AN78" s="31">
        <f>PROGRAMADO!AN78/'Anexo '!$G$20</f>
        <v>0</v>
      </c>
      <c r="AO78" s="31">
        <f>PROGRAMADO!AO78/'Anexo '!$G$20</f>
        <v>0</v>
      </c>
      <c r="AP78" s="31">
        <f>PROGRAMADO!AP78/'Anexo '!$G$20</f>
        <v>0</v>
      </c>
      <c r="AQ78" s="31">
        <f>PROGRAMADO!AQ78/'Anexo '!$G$20</f>
        <v>0</v>
      </c>
      <c r="AR78" s="31">
        <f>PROGRAMADO!AR78/'Anexo '!$H$20</f>
        <v>0</v>
      </c>
      <c r="AS78" s="31">
        <f>PROGRAMADO!AS78/'Anexo '!$H$20</f>
        <v>0</v>
      </c>
      <c r="AT78" s="31">
        <f>PROGRAMADO!AT78/'Anexo '!$H$20</f>
        <v>0</v>
      </c>
      <c r="AU78" s="31">
        <f>PROGRAMADO!AU78/'Anexo '!$H$20</f>
        <v>0</v>
      </c>
      <c r="AV78" s="31">
        <f>PROGRAMADO!AV78/'Anexo '!$H$20</f>
        <v>0</v>
      </c>
      <c r="AW78" s="31">
        <f>PROGRAMADO!AW78/'Anexo '!$H$20</f>
        <v>0</v>
      </c>
      <c r="AX78" s="31">
        <f>PROGRAMADO!AX78/'Anexo '!$H$20</f>
        <v>0</v>
      </c>
      <c r="AY78" s="31">
        <f>PROGRAMADO!AY78/'Anexo '!$I$20</f>
        <v>0</v>
      </c>
      <c r="AZ78" s="31">
        <f>PROGRAMADO!AZ78/'Anexo '!$I$20</f>
        <v>0</v>
      </c>
      <c r="BA78" s="31">
        <f>PROGRAMADO!BA78/'Anexo '!$I$20</f>
        <v>0</v>
      </c>
      <c r="BB78" s="31">
        <f>PROGRAMADO!BB78/'Anexo '!$I$20</f>
        <v>0</v>
      </c>
      <c r="BC78" s="31">
        <f>PROGRAMADO!BC78/'Anexo '!$I$20</f>
        <v>0</v>
      </c>
      <c r="BD78" s="31">
        <f>PROGRAMADO!BD78/'Anexo '!$I$20</f>
        <v>0</v>
      </c>
      <c r="BE78" s="31">
        <f>PROGRAMADO!BE78/'Anexo '!$I$20</f>
        <v>0</v>
      </c>
      <c r="BF78" s="31">
        <f>PROGRAMADO!BF78/'Anexo '!$J$20</f>
        <v>0</v>
      </c>
      <c r="BG78" s="31">
        <f>PROGRAMADO!BG78/'Anexo '!$J$20</f>
        <v>0</v>
      </c>
      <c r="BH78" s="31">
        <f>PROGRAMADO!BH78/'Anexo '!$J$20</f>
        <v>0</v>
      </c>
      <c r="BI78" s="31">
        <f>PROGRAMADO!BI78/'Anexo '!$J$20</f>
        <v>0</v>
      </c>
      <c r="BJ78" s="31">
        <f>PROGRAMADO!BJ78/'Anexo '!$J$20</f>
        <v>0</v>
      </c>
      <c r="BK78" s="31">
        <f>PROGRAMADO!BK78/'Anexo '!$J$20</f>
        <v>0</v>
      </c>
      <c r="BL78" s="31">
        <f>PROGRAMADO!BL78/'Anexo '!$J$20</f>
        <v>0</v>
      </c>
      <c r="BM78" s="31">
        <f>PROGRAMADO!BM78/'Anexo '!$K$20</f>
        <v>0</v>
      </c>
      <c r="BN78" s="31">
        <f>PROGRAMADO!BN78/'Anexo '!$K$20</f>
        <v>0</v>
      </c>
      <c r="BO78" s="31">
        <f>PROGRAMADO!BO78/'Anexo '!$K$20</f>
        <v>0</v>
      </c>
      <c r="BP78" s="31">
        <f>PROGRAMADO!BP78/'Anexo '!$K$20</f>
        <v>0</v>
      </c>
      <c r="BQ78" s="31">
        <f>PROGRAMADO!BQ78/'Anexo '!$K$20</f>
        <v>0</v>
      </c>
      <c r="BR78" s="31">
        <f>PROGRAMADO!BR78/'Anexo '!$K$20</f>
        <v>0</v>
      </c>
      <c r="BS78" s="31">
        <f>PROGRAMADO!BS78/'Anexo '!$K$20</f>
        <v>0</v>
      </c>
      <c r="BT78" s="31">
        <f>PROGRAMADO!BT78/'Anexo '!$L$20</f>
        <v>0</v>
      </c>
      <c r="BU78" s="31">
        <f>PROGRAMADO!BU78/'Anexo '!$L$20</f>
        <v>0</v>
      </c>
      <c r="BV78" s="31">
        <f>PROGRAMADO!BV78/'Anexo '!$L$20</f>
        <v>0</v>
      </c>
      <c r="BW78" s="31">
        <f>PROGRAMADO!BW78/'Anexo '!$L$20</f>
        <v>0</v>
      </c>
      <c r="BX78" s="31">
        <f>PROGRAMADO!BX78/'Anexo '!$L$20</f>
        <v>0</v>
      </c>
      <c r="BY78" s="31">
        <f>PROGRAMADO!BY78/'Anexo '!$L$20</f>
        <v>13987227.726910552</v>
      </c>
      <c r="BZ78" s="31">
        <f>PROGRAMADO!BZ78/'Anexo '!$L$20</f>
        <v>13987227.726910552</v>
      </c>
      <c r="CA78" s="31">
        <f>PROGRAMADO!CA78/'Anexo '!$L$20</f>
        <v>13987227.726910552</v>
      </c>
      <c r="CB78" s="31">
        <f>PROGRAMADO!CB78/'Anexo '!$M$20</f>
        <v>0</v>
      </c>
      <c r="CC78" s="31">
        <f>PROGRAMADO!CC78/'Anexo '!$M$20</f>
        <v>0</v>
      </c>
      <c r="CD78" s="31">
        <f>PROGRAMADO!CD78/'Anexo '!$M$20</f>
        <v>0</v>
      </c>
      <c r="CE78" s="31">
        <f>PROGRAMADO!CE78/'Anexo '!$M$20</f>
        <v>0</v>
      </c>
      <c r="CF78" s="31">
        <f>PROGRAMADO!CF78/'Anexo '!$M$20</f>
        <v>42226997.615050219</v>
      </c>
      <c r="CG78" s="31">
        <f>PROGRAMADO!CG78/'Anexo '!$M$20</f>
        <v>542985.14371050545</v>
      </c>
      <c r="CH78" s="31">
        <f>PROGRAMADO!CH78/'Anexo '!$M$20</f>
        <v>42769982.758760728</v>
      </c>
      <c r="CI78" s="32">
        <f>PROGRAMADO!CI78/'Anexo '!$M$20</f>
        <v>42769982.758760728</v>
      </c>
    </row>
    <row r="79" spans="1:87" x14ac:dyDescent="0.25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 spans="1:87" x14ac:dyDescent="0.25">
      <c r="A80" s="1" t="s">
        <v>62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 spans="1:19" x14ac:dyDescent="0.25">
      <c r="A81" s="1" t="s">
        <v>79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 spans="1:19" x14ac:dyDescent="0.25">
      <c r="A82" s="1" t="s">
        <v>82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 spans="1:19" x14ac:dyDescent="0.25">
      <c r="A83" s="1" t="s">
        <v>83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 spans="1:19" x14ac:dyDescent="0.25">
      <c r="A84" s="1" t="s">
        <v>84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 spans="1:19" x14ac:dyDescent="0.25">
      <c r="A85" s="1" t="s">
        <v>85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 spans="1:19" x14ac:dyDescent="0.25">
      <c r="A86" s="1" t="s">
        <v>86</v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 spans="1:19" x14ac:dyDescent="0.25">
      <c r="A87" s="1" t="s">
        <v>87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 x14ac:dyDescent="0.25">
      <c r="A88" s="1" t="s">
        <v>88</v>
      </c>
    </row>
    <row r="89" spans="1:19" x14ac:dyDescent="0.25">
      <c r="A89" s="1" t="s">
        <v>89</v>
      </c>
    </row>
    <row r="90" spans="1:19" x14ac:dyDescent="0.25">
      <c r="A90" s="1" t="s">
        <v>90</v>
      </c>
    </row>
    <row r="91" spans="1:19" x14ac:dyDescent="0.25">
      <c r="A91" s="1" t="s">
        <v>91</v>
      </c>
    </row>
    <row r="92" spans="1:19" x14ac:dyDescent="0.25">
      <c r="A92" s="1" t="s">
        <v>101</v>
      </c>
    </row>
    <row r="93" spans="1:19" x14ac:dyDescent="0.25">
      <c r="A93" s="1" t="s">
        <v>108</v>
      </c>
    </row>
    <row r="94" spans="1:19" x14ac:dyDescent="0.25">
      <c r="A94" s="1" t="s">
        <v>111</v>
      </c>
    </row>
    <row r="95" spans="1:19" x14ac:dyDescent="0.25">
      <c r="A95" s="1" t="s">
        <v>112</v>
      </c>
    </row>
  </sheetData>
  <mergeCells count="123">
    <mergeCell ref="V2:V4"/>
    <mergeCell ref="AC2:AC4"/>
    <mergeCell ref="AJ2:AJ4"/>
    <mergeCell ref="AQ2:AQ4"/>
    <mergeCell ref="AX2:AX4"/>
    <mergeCell ref="BE2:BE4"/>
    <mergeCell ref="BL2:BL4"/>
    <mergeCell ref="BS2:BS4"/>
    <mergeCell ref="CA2:CA4"/>
    <mergeCell ref="AK3:AK4"/>
    <mergeCell ref="AL3:AL4"/>
    <mergeCell ref="AM3:AM4"/>
    <mergeCell ref="BA3:BA4"/>
    <mergeCell ref="BB3:BB4"/>
    <mergeCell ref="BC3:BC4"/>
    <mergeCell ref="BD3:BD4"/>
    <mergeCell ref="BF3:BF4"/>
    <mergeCell ref="AN3:AN4"/>
    <mergeCell ref="AO3:AO4"/>
    <mergeCell ref="AP3:AP4"/>
    <mergeCell ref="AR3:AR4"/>
    <mergeCell ref="AS3:AS4"/>
    <mergeCell ref="AT3:AT4"/>
    <mergeCell ref="BF2:BH2"/>
    <mergeCell ref="A1:A4"/>
    <mergeCell ref="B1:H1"/>
    <mergeCell ref="I1:O1"/>
    <mergeCell ref="P1:V1"/>
    <mergeCell ref="W1:AC1"/>
    <mergeCell ref="AD1:AJ1"/>
    <mergeCell ref="W2:Y2"/>
    <mergeCell ref="Z2:AB2"/>
    <mergeCell ref="AD2:AF2"/>
    <mergeCell ref="Z3:Z4"/>
    <mergeCell ref="AA3:AA4"/>
    <mergeCell ref="AB3:AB4"/>
    <mergeCell ref="AD3:AD4"/>
    <mergeCell ref="AE3:AE4"/>
    <mergeCell ref="AF3:AF4"/>
    <mergeCell ref="AG3:AG4"/>
    <mergeCell ref="AH3:AH4"/>
    <mergeCell ref="U3:U4"/>
    <mergeCell ref="W3:W4"/>
    <mergeCell ref="X3:X4"/>
    <mergeCell ref="Y3:Y4"/>
    <mergeCell ref="N3:N4"/>
    <mergeCell ref="P3:P4"/>
    <mergeCell ref="AI3:AI4"/>
    <mergeCell ref="CB1:CI1"/>
    <mergeCell ref="B2:D2"/>
    <mergeCell ref="E2:G2"/>
    <mergeCell ref="I2:K2"/>
    <mergeCell ref="L2:N2"/>
    <mergeCell ref="P2:R2"/>
    <mergeCell ref="S2:U2"/>
    <mergeCell ref="AK1:AQ1"/>
    <mergeCell ref="AR1:AX1"/>
    <mergeCell ref="AY1:BE1"/>
    <mergeCell ref="BF1:BL1"/>
    <mergeCell ref="BM1:BS1"/>
    <mergeCell ref="BT1:CA1"/>
    <mergeCell ref="AG2:AI2"/>
    <mergeCell ref="AK2:AM2"/>
    <mergeCell ref="AN2:AP2"/>
    <mergeCell ref="AR2:AT2"/>
    <mergeCell ref="BX2:BZ2"/>
    <mergeCell ref="CB2:CE2"/>
    <mergeCell ref="CF2:CH2"/>
    <mergeCell ref="CI2:CI4"/>
    <mergeCell ref="B3:B4"/>
    <mergeCell ref="C3:C4"/>
    <mergeCell ref="D3:D4"/>
    <mergeCell ref="E3:E4"/>
    <mergeCell ref="F3:F4"/>
    <mergeCell ref="BI2:BK2"/>
    <mergeCell ref="BM2:BO2"/>
    <mergeCell ref="BP2:BR2"/>
    <mergeCell ref="BT2:BW2"/>
    <mergeCell ref="BN3:BN4"/>
    <mergeCell ref="BO3:BO4"/>
    <mergeCell ref="BP3:BP4"/>
    <mergeCell ref="BQ3:BQ4"/>
    <mergeCell ref="AU2:AW2"/>
    <mergeCell ref="Q3:Q4"/>
    <mergeCell ref="R3:R4"/>
    <mergeCell ref="S3:S4"/>
    <mergeCell ref="T3:T4"/>
    <mergeCell ref="G3:G4"/>
    <mergeCell ref="I3:I4"/>
    <mergeCell ref="J3:J4"/>
    <mergeCell ref="K3:K4"/>
    <mergeCell ref="L3:L4"/>
    <mergeCell ref="M3:M4"/>
    <mergeCell ref="H2:H4"/>
    <mergeCell ref="O2:O4"/>
    <mergeCell ref="AZ3:AZ4"/>
    <mergeCell ref="AU3:AU4"/>
    <mergeCell ref="AV3:AV4"/>
    <mergeCell ref="AW3:AW4"/>
    <mergeCell ref="AY3:AY4"/>
    <mergeCell ref="AY2:BA2"/>
    <mergeCell ref="BB2:BD2"/>
    <mergeCell ref="BR3:BR4"/>
    <mergeCell ref="BT3:BT4"/>
    <mergeCell ref="BU3:BU4"/>
    <mergeCell ref="BV3:BV4"/>
    <mergeCell ref="BW3:BW4"/>
    <mergeCell ref="BX3:BX4"/>
    <mergeCell ref="BG3:BG4"/>
    <mergeCell ref="BH3:BH4"/>
    <mergeCell ref="BI3:BI4"/>
    <mergeCell ref="BJ3:BJ4"/>
    <mergeCell ref="BK3:BK4"/>
    <mergeCell ref="BM3:BM4"/>
    <mergeCell ref="CF3:CF4"/>
    <mergeCell ref="CG3:CG4"/>
    <mergeCell ref="CH3:CH4"/>
    <mergeCell ref="BY3:BY4"/>
    <mergeCell ref="BZ3:BZ4"/>
    <mergeCell ref="CB3:CB4"/>
    <mergeCell ref="CC3:CC4"/>
    <mergeCell ref="CD3:CD4"/>
    <mergeCell ref="CE3:C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95"/>
  <sheetViews>
    <sheetView zoomScale="90" zoomScaleNormal="90" workbookViewId="0">
      <pane xSplit="1" topLeftCell="B1" activePane="topRight" state="frozen"/>
      <selection pane="topRight" sqref="A1:A4"/>
    </sheetView>
  </sheetViews>
  <sheetFormatPr baseColWidth="10" defaultRowHeight="15" x14ac:dyDescent="0.25"/>
  <cols>
    <col min="1" max="1" width="72.7109375" style="1" customWidth="1"/>
    <col min="2" max="73" width="15.7109375" style="2" customWidth="1"/>
    <col min="74" max="74" width="20.5703125" style="2" customWidth="1"/>
    <col min="75" max="81" width="15.7109375" style="2" customWidth="1"/>
    <col min="82" max="82" width="19.85546875" style="2" customWidth="1"/>
    <col min="83" max="87" width="15.7109375" style="2" customWidth="1"/>
  </cols>
  <sheetData>
    <row r="1" spans="1:87" x14ac:dyDescent="0.25">
      <c r="A1" s="44" t="s">
        <v>27</v>
      </c>
      <c r="B1" s="39">
        <v>2002</v>
      </c>
      <c r="C1" s="39"/>
      <c r="D1" s="39"/>
      <c r="E1" s="39"/>
      <c r="F1" s="39"/>
      <c r="G1" s="39"/>
      <c r="H1" s="39"/>
      <c r="I1" s="39">
        <v>2003</v>
      </c>
      <c r="J1" s="39"/>
      <c r="K1" s="39"/>
      <c r="L1" s="39"/>
      <c r="M1" s="39"/>
      <c r="N1" s="39"/>
      <c r="O1" s="39"/>
      <c r="P1" s="39">
        <v>2004</v>
      </c>
      <c r="Q1" s="39"/>
      <c r="R1" s="39"/>
      <c r="S1" s="39"/>
      <c r="T1" s="39"/>
      <c r="U1" s="39"/>
      <c r="V1" s="39"/>
      <c r="W1" s="39">
        <v>2005</v>
      </c>
      <c r="X1" s="39"/>
      <c r="Y1" s="39"/>
      <c r="Z1" s="39"/>
      <c r="AA1" s="39"/>
      <c r="AB1" s="39"/>
      <c r="AC1" s="39"/>
      <c r="AD1" s="39">
        <v>2006</v>
      </c>
      <c r="AE1" s="39"/>
      <c r="AF1" s="39"/>
      <c r="AG1" s="39"/>
      <c r="AH1" s="39"/>
      <c r="AI1" s="39"/>
      <c r="AJ1" s="39"/>
      <c r="AK1" s="39">
        <v>2007</v>
      </c>
      <c r="AL1" s="39"/>
      <c r="AM1" s="39"/>
      <c r="AN1" s="39"/>
      <c r="AO1" s="39"/>
      <c r="AP1" s="39"/>
      <c r="AQ1" s="39"/>
      <c r="AR1" s="39">
        <v>2008</v>
      </c>
      <c r="AS1" s="39"/>
      <c r="AT1" s="39"/>
      <c r="AU1" s="39"/>
      <c r="AV1" s="39"/>
      <c r="AW1" s="39"/>
      <c r="AX1" s="39"/>
      <c r="AY1" s="39">
        <v>2009</v>
      </c>
      <c r="AZ1" s="39"/>
      <c r="BA1" s="39"/>
      <c r="BB1" s="39"/>
      <c r="BC1" s="39"/>
      <c r="BD1" s="39"/>
      <c r="BE1" s="39"/>
      <c r="BF1" s="39">
        <v>2010</v>
      </c>
      <c r="BG1" s="39"/>
      <c r="BH1" s="39"/>
      <c r="BI1" s="39"/>
      <c r="BJ1" s="39"/>
      <c r="BK1" s="39"/>
      <c r="BL1" s="39"/>
      <c r="BM1" s="47">
        <v>2011</v>
      </c>
      <c r="BN1" s="48"/>
      <c r="BO1" s="48"/>
      <c r="BP1" s="48"/>
      <c r="BQ1" s="48"/>
      <c r="BR1" s="48"/>
      <c r="BS1" s="49"/>
      <c r="BT1" s="47">
        <v>2012</v>
      </c>
      <c r="BU1" s="48"/>
      <c r="BV1" s="48"/>
      <c r="BW1" s="48"/>
      <c r="BX1" s="48"/>
      <c r="BY1" s="48"/>
      <c r="BZ1" s="48"/>
      <c r="CA1" s="49"/>
      <c r="CB1" s="47">
        <v>2013</v>
      </c>
      <c r="CC1" s="48"/>
      <c r="CD1" s="48"/>
      <c r="CE1" s="48"/>
      <c r="CF1" s="48"/>
      <c r="CG1" s="48"/>
      <c r="CH1" s="48"/>
      <c r="CI1" s="50"/>
    </row>
    <row r="2" spans="1:87" ht="15" customHeight="1" x14ac:dyDescent="0.25">
      <c r="A2" s="64"/>
      <c r="B2" s="40" t="s">
        <v>29</v>
      </c>
      <c r="C2" s="40"/>
      <c r="D2" s="40"/>
      <c r="E2" s="57" t="s">
        <v>28</v>
      </c>
      <c r="F2" s="40"/>
      <c r="G2" s="40"/>
      <c r="H2" s="53" t="s">
        <v>26</v>
      </c>
      <c r="I2" s="40" t="s">
        <v>29</v>
      </c>
      <c r="J2" s="40"/>
      <c r="K2" s="40"/>
      <c r="L2" s="57" t="s">
        <v>28</v>
      </c>
      <c r="M2" s="40"/>
      <c r="N2" s="40"/>
      <c r="O2" s="53" t="s">
        <v>26</v>
      </c>
      <c r="P2" s="40" t="s">
        <v>29</v>
      </c>
      <c r="Q2" s="40"/>
      <c r="R2" s="40"/>
      <c r="S2" s="57" t="s">
        <v>28</v>
      </c>
      <c r="T2" s="40"/>
      <c r="U2" s="40"/>
      <c r="V2" s="53" t="s">
        <v>26</v>
      </c>
      <c r="W2" s="40" t="s">
        <v>29</v>
      </c>
      <c r="X2" s="40"/>
      <c r="Y2" s="40"/>
      <c r="Z2" s="57" t="s">
        <v>28</v>
      </c>
      <c r="AA2" s="40"/>
      <c r="AB2" s="40"/>
      <c r="AC2" s="53" t="s">
        <v>26</v>
      </c>
      <c r="AD2" s="40" t="s">
        <v>29</v>
      </c>
      <c r="AE2" s="40"/>
      <c r="AF2" s="40"/>
      <c r="AG2" s="57" t="s">
        <v>28</v>
      </c>
      <c r="AH2" s="40"/>
      <c r="AI2" s="40"/>
      <c r="AJ2" s="53" t="s">
        <v>26</v>
      </c>
      <c r="AK2" s="40" t="s">
        <v>29</v>
      </c>
      <c r="AL2" s="40"/>
      <c r="AM2" s="40"/>
      <c r="AN2" s="57" t="s">
        <v>28</v>
      </c>
      <c r="AO2" s="40"/>
      <c r="AP2" s="40"/>
      <c r="AQ2" s="53" t="s">
        <v>26</v>
      </c>
      <c r="AR2" s="40" t="s">
        <v>29</v>
      </c>
      <c r="AS2" s="40"/>
      <c r="AT2" s="40"/>
      <c r="AU2" s="57" t="s">
        <v>28</v>
      </c>
      <c r="AV2" s="40"/>
      <c r="AW2" s="40"/>
      <c r="AX2" s="53" t="s">
        <v>26</v>
      </c>
      <c r="AY2" s="40" t="s">
        <v>29</v>
      </c>
      <c r="AZ2" s="40"/>
      <c r="BA2" s="40"/>
      <c r="BB2" s="57" t="s">
        <v>28</v>
      </c>
      <c r="BC2" s="40"/>
      <c r="BD2" s="40"/>
      <c r="BE2" s="53" t="s">
        <v>26</v>
      </c>
      <c r="BF2" s="40" t="s">
        <v>29</v>
      </c>
      <c r="BG2" s="40"/>
      <c r="BH2" s="40"/>
      <c r="BI2" s="57" t="s">
        <v>28</v>
      </c>
      <c r="BJ2" s="40"/>
      <c r="BK2" s="40"/>
      <c r="BL2" s="53" t="s">
        <v>26</v>
      </c>
      <c r="BM2" s="40" t="s">
        <v>29</v>
      </c>
      <c r="BN2" s="40"/>
      <c r="BO2" s="40"/>
      <c r="BP2" s="57" t="s">
        <v>28</v>
      </c>
      <c r="BQ2" s="40"/>
      <c r="BR2" s="40"/>
      <c r="BS2" s="53" t="s">
        <v>26</v>
      </c>
      <c r="BT2" s="59" t="s">
        <v>29</v>
      </c>
      <c r="BU2" s="60"/>
      <c r="BV2" s="60"/>
      <c r="BW2" s="57"/>
      <c r="BX2" s="59" t="s">
        <v>28</v>
      </c>
      <c r="BY2" s="60"/>
      <c r="BZ2" s="57"/>
      <c r="CA2" s="53" t="s">
        <v>26</v>
      </c>
      <c r="CB2" s="59" t="s">
        <v>29</v>
      </c>
      <c r="CC2" s="60"/>
      <c r="CD2" s="60"/>
      <c r="CE2" s="57"/>
      <c r="CF2" s="59" t="s">
        <v>28</v>
      </c>
      <c r="CG2" s="60"/>
      <c r="CH2" s="57"/>
      <c r="CI2" s="62" t="s">
        <v>26</v>
      </c>
    </row>
    <row r="3" spans="1:87" x14ac:dyDescent="0.25">
      <c r="A3" s="64"/>
      <c r="B3" s="53" t="s">
        <v>30</v>
      </c>
      <c r="C3" s="53" t="s">
        <v>31</v>
      </c>
      <c r="D3" s="53" t="s">
        <v>32</v>
      </c>
      <c r="E3" s="53" t="s">
        <v>33</v>
      </c>
      <c r="F3" s="53" t="s">
        <v>34</v>
      </c>
      <c r="G3" s="53" t="s">
        <v>35</v>
      </c>
      <c r="H3" s="54"/>
      <c r="I3" s="57" t="s">
        <v>30</v>
      </c>
      <c r="J3" s="40" t="s">
        <v>31</v>
      </c>
      <c r="K3" s="40" t="s">
        <v>32</v>
      </c>
      <c r="L3" s="40" t="s">
        <v>33</v>
      </c>
      <c r="M3" s="40" t="s">
        <v>34</v>
      </c>
      <c r="N3" s="40" t="s">
        <v>35</v>
      </c>
      <c r="O3" s="54"/>
      <c r="P3" s="57" t="s">
        <v>30</v>
      </c>
      <c r="Q3" s="40" t="s">
        <v>31</v>
      </c>
      <c r="R3" s="40" t="s">
        <v>32</v>
      </c>
      <c r="S3" s="40" t="s">
        <v>33</v>
      </c>
      <c r="T3" s="40" t="s">
        <v>34</v>
      </c>
      <c r="U3" s="40" t="s">
        <v>35</v>
      </c>
      <c r="V3" s="54"/>
      <c r="W3" s="57" t="s">
        <v>30</v>
      </c>
      <c r="X3" s="40" t="s">
        <v>31</v>
      </c>
      <c r="Y3" s="40" t="s">
        <v>32</v>
      </c>
      <c r="Z3" s="40" t="s">
        <v>33</v>
      </c>
      <c r="AA3" s="40" t="s">
        <v>34</v>
      </c>
      <c r="AB3" s="40" t="s">
        <v>35</v>
      </c>
      <c r="AC3" s="54"/>
      <c r="AD3" s="57" t="s">
        <v>30</v>
      </c>
      <c r="AE3" s="40" t="s">
        <v>31</v>
      </c>
      <c r="AF3" s="40" t="s">
        <v>32</v>
      </c>
      <c r="AG3" s="40" t="s">
        <v>33</v>
      </c>
      <c r="AH3" s="40" t="s">
        <v>34</v>
      </c>
      <c r="AI3" s="40" t="s">
        <v>35</v>
      </c>
      <c r="AJ3" s="54"/>
      <c r="AK3" s="57" t="s">
        <v>30</v>
      </c>
      <c r="AL3" s="40" t="s">
        <v>31</v>
      </c>
      <c r="AM3" s="40" t="s">
        <v>32</v>
      </c>
      <c r="AN3" s="40" t="s">
        <v>33</v>
      </c>
      <c r="AO3" s="40" t="s">
        <v>34</v>
      </c>
      <c r="AP3" s="40" t="s">
        <v>35</v>
      </c>
      <c r="AQ3" s="54"/>
      <c r="AR3" s="57" t="s">
        <v>30</v>
      </c>
      <c r="AS3" s="40" t="s">
        <v>31</v>
      </c>
      <c r="AT3" s="40" t="s">
        <v>32</v>
      </c>
      <c r="AU3" s="40" t="s">
        <v>33</v>
      </c>
      <c r="AV3" s="40" t="s">
        <v>34</v>
      </c>
      <c r="AW3" s="40" t="s">
        <v>35</v>
      </c>
      <c r="AX3" s="54"/>
      <c r="AY3" s="57" t="s">
        <v>30</v>
      </c>
      <c r="AZ3" s="40" t="s">
        <v>31</v>
      </c>
      <c r="BA3" s="40" t="s">
        <v>32</v>
      </c>
      <c r="BB3" s="40" t="s">
        <v>33</v>
      </c>
      <c r="BC3" s="40" t="s">
        <v>34</v>
      </c>
      <c r="BD3" s="40" t="s">
        <v>35</v>
      </c>
      <c r="BE3" s="54"/>
      <c r="BF3" s="57" t="s">
        <v>30</v>
      </c>
      <c r="BG3" s="40" t="s">
        <v>31</v>
      </c>
      <c r="BH3" s="40" t="s">
        <v>32</v>
      </c>
      <c r="BI3" s="40" t="s">
        <v>33</v>
      </c>
      <c r="BJ3" s="40" t="s">
        <v>34</v>
      </c>
      <c r="BK3" s="40" t="s">
        <v>35</v>
      </c>
      <c r="BL3" s="54"/>
      <c r="BM3" s="53" t="s">
        <v>30</v>
      </c>
      <c r="BN3" s="53" t="s">
        <v>31</v>
      </c>
      <c r="BO3" s="53" t="s">
        <v>32</v>
      </c>
      <c r="BP3" s="53" t="s">
        <v>33</v>
      </c>
      <c r="BQ3" s="53" t="s">
        <v>34</v>
      </c>
      <c r="BR3" s="53" t="s">
        <v>35</v>
      </c>
      <c r="BS3" s="54"/>
      <c r="BT3" s="53" t="s">
        <v>30</v>
      </c>
      <c r="BU3" s="53" t="s">
        <v>31</v>
      </c>
      <c r="BV3" s="53" t="s">
        <v>44</v>
      </c>
      <c r="BW3" s="53" t="s">
        <v>32</v>
      </c>
      <c r="BX3" s="53" t="s">
        <v>33</v>
      </c>
      <c r="BY3" s="53" t="s">
        <v>34</v>
      </c>
      <c r="BZ3" s="53" t="s">
        <v>35</v>
      </c>
      <c r="CA3" s="54"/>
      <c r="CB3" s="53" t="s">
        <v>30</v>
      </c>
      <c r="CC3" s="53" t="s">
        <v>31</v>
      </c>
      <c r="CD3" s="53" t="s">
        <v>44</v>
      </c>
      <c r="CE3" s="53" t="s">
        <v>32</v>
      </c>
      <c r="CF3" s="53" t="s">
        <v>33</v>
      </c>
      <c r="CG3" s="53" t="s">
        <v>34</v>
      </c>
      <c r="CH3" s="53" t="s">
        <v>35</v>
      </c>
      <c r="CI3" s="63"/>
    </row>
    <row r="4" spans="1:87" ht="15.75" thickBot="1" x14ac:dyDescent="0.3">
      <c r="A4" s="65"/>
      <c r="B4" s="54"/>
      <c r="C4" s="54"/>
      <c r="D4" s="54"/>
      <c r="E4" s="54"/>
      <c r="F4" s="54"/>
      <c r="G4" s="54"/>
      <c r="H4" s="61"/>
      <c r="I4" s="58"/>
      <c r="J4" s="53"/>
      <c r="K4" s="53"/>
      <c r="L4" s="53"/>
      <c r="M4" s="53"/>
      <c r="N4" s="53"/>
      <c r="O4" s="61"/>
      <c r="P4" s="58"/>
      <c r="Q4" s="53"/>
      <c r="R4" s="53"/>
      <c r="S4" s="53"/>
      <c r="T4" s="53"/>
      <c r="U4" s="53"/>
      <c r="V4" s="61"/>
      <c r="W4" s="58"/>
      <c r="X4" s="53"/>
      <c r="Y4" s="53"/>
      <c r="Z4" s="53"/>
      <c r="AA4" s="53"/>
      <c r="AB4" s="53"/>
      <c r="AC4" s="61"/>
      <c r="AD4" s="58"/>
      <c r="AE4" s="53"/>
      <c r="AF4" s="53"/>
      <c r="AG4" s="53"/>
      <c r="AH4" s="53"/>
      <c r="AI4" s="53"/>
      <c r="AJ4" s="61"/>
      <c r="AK4" s="58"/>
      <c r="AL4" s="53"/>
      <c r="AM4" s="53"/>
      <c r="AN4" s="53"/>
      <c r="AO4" s="53"/>
      <c r="AP4" s="53"/>
      <c r="AQ4" s="61"/>
      <c r="AR4" s="58"/>
      <c r="AS4" s="53"/>
      <c r="AT4" s="53"/>
      <c r="AU4" s="53"/>
      <c r="AV4" s="53"/>
      <c r="AW4" s="53"/>
      <c r="AX4" s="61"/>
      <c r="AY4" s="58"/>
      <c r="AZ4" s="53"/>
      <c r="BA4" s="53"/>
      <c r="BB4" s="53"/>
      <c r="BC4" s="53"/>
      <c r="BD4" s="53"/>
      <c r="BE4" s="61"/>
      <c r="BF4" s="58"/>
      <c r="BG4" s="53"/>
      <c r="BH4" s="53"/>
      <c r="BI4" s="53"/>
      <c r="BJ4" s="53"/>
      <c r="BK4" s="53"/>
      <c r="BL4" s="61"/>
      <c r="BM4" s="54"/>
      <c r="BN4" s="54"/>
      <c r="BO4" s="54"/>
      <c r="BP4" s="54"/>
      <c r="BQ4" s="54"/>
      <c r="BR4" s="54"/>
      <c r="BS4" s="61"/>
      <c r="BT4" s="54"/>
      <c r="BU4" s="54"/>
      <c r="BV4" s="54"/>
      <c r="BW4" s="54"/>
      <c r="BX4" s="54"/>
      <c r="BY4" s="54"/>
      <c r="BZ4" s="54"/>
      <c r="CA4" s="61"/>
      <c r="CB4" s="54"/>
      <c r="CC4" s="54"/>
      <c r="CD4" s="54"/>
      <c r="CE4" s="54"/>
      <c r="CF4" s="54"/>
      <c r="CG4" s="54"/>
      <c r="CH4" s="54"/>
      <c r="CI4" s="63"/>
    </row>
    <row r="5" spans="1:87" s="18" customFormat="1" ht="15.75" thickBot="1" x14ac:dyDescent="0.3">
      <c r="A5" s="20" t="s">
        <v>26</v>
      </c>
      <c r="B5" s="33">
        <f>PROGRAMADO!B5/'Anexo '!$B$23</f>
        <v>2774438.4021106847</v>
      </c>
      <c r="C5" s="34">
        <f>PROGRAMADO!C5/'Anexo '!$B$23</f>
        <v>54757806.072428472</v>
      </c>
      <c r="D5" s="34">
        <f>PROGRAMADO!D5/'Anexo '!$B$23</f>
        <v>57532244.474539161</v>
      </c>
      <c r="E5" s="34">
        <f>PROGRAMADO!E5/'Anexo '!$B$23</f>
        <v>90511546.821693465</v>
      </c>
      <c r="F5" s="34">
        <f>PROGRAMADO!F5/'Anexo '!$B$23</f>
        <v>134321509.77665195</v>
      </c>
      <c r="G5" s="34">
        <f>PROGRAMADO!G5/'Anexo '!$B$23</f>
        <v>224833056.5983454</v>
      </c>
      <c r="H5" s="34">
        <f>PROGRAMADO!H5/'Anexo '!$B$23</f>
        <v>282365301.07288456</v>
      </c>
      <c r="I5" s="34">
        <f>PROGRAMADO!I5/'Anexo '!$C$23</f>
        <v>2774672.0979187628</v>
      </c>
      <c r="J5" s="34">
        <f>PROGRAMADO!J5/'Anexo '!$C$23</f>
        <v>69014739.469363973</v>
      </c>
      <c r="K5" s="34">
        <f>PROGRAMADO!K5/'Anexo '!$C$23</f>
        <v>71789411.567282751</v>
      </c>
      <c r="L5" s="34">
        <f>PROGRAMADO!L5/'Anexo '!$C$23</f>
        <v>89223666.927924573</v>
      </c>
      <c r="M5" s="34">
        <f>PROGRAMADO!M5/'Anexo '!$C$23</f>
        <v>144061662.41526771</v>
      </c>
      <c r="N5" s="34">
        <f>PROGRAMADO!N5/'Anexo '!$C$23</f>
        <v>233285329.34319228</v>
      </c>
      <c r="O5" s="34">
        <f>PROGRAMADO!O5/'Anexo '!$C$23</f>
        <v>305074740.91047502</v>
      </c>
      <c r="P5" s="34">
        <f>PROGRAMADO!P5/'Anexo '!$D$23</f>
        <v>2220687.6321585211</v>
      </c>
      <c r="Q5" s="34">
        <f>PROGRAMADO!Q5/'Anexo '!$D$23</f>
        <v>85272645.617513627</v>
      </c>
      <c r="R5" s="34">
        <f>PROGRAMADO!R5/'Anexo '!$D$23</f>
        <v>87493333.249672145</v>
      </c>
      <c r="S5" s="34">
        <f>PROGRAMADO!S5/'Anexo '!$D$23</f>
        <v>110058129.60790096</v>
      </c>
      <c r="T5" s="34">
        <f>PROGRAMADO!T5/'Anexo '!$D$23</f>
        <v>171877242.06735143</v>
      </c>
      <c r="U5" s="34">
        <f>PROGRAMADO!U5/'Anexo '!$D$23</f>
        <v>281935371.67525238</v>
      </c>
      <c r="V5" s="34">
        <f>PROGRAMADO!V5/'Anexo '!$D$23</f>
        <v>369428704.92492455</v>
      </c>
      <c r="W5" s="34">
        <f>PROGRAMADO!W5/'Anexo '!$E$23</f>
        <v>10052801.061356695</v>
      </c>
      <c r="X5" s="34">
        <f>PROGRAMADO!X5/'Anexo '!$E$23</f>
        <v>124473353.13416959</v>
      </c>
      <c r="Y5" s="34">
        <f>PROGRAMADO!Y5/'Anexo '!$E$23</f>
        <v>134526154.1955263</v>
      </c>
      <c r="Z5" s="34">
        <f>PROGRAMADO!Z5/'Anexo '!$E$23</f>
        <v>116533989.29081532</v>
      </c>
      <c r="AA5" s="34">
        <f>PROGRAMADO!AA5/'Anexo '!$E$23</f>
        <v>167877232.7036508</v>
      </c>
      <c r="AB5" s="34">
        <f>PROGRAMADO!AB5/'Anexo '!$E$23</f>
        <v>284411221.99446613</v>
      </c>
      <c r="AC5" s="34">
        <f>PROGRAMADO!AC5/'Anexo '!$E$23</f>
        <v>418937376.18999243</v>
      </c>
      <c r="AD5" s="34">
        <f>PROGRAMADO!AD5/'Anexo '!$F$23</f>
        <v>11321847.296528174</v>
      </c>
      <c r="AE5" s="34">
        <f>PROGRAMADO!AE5/'Anexo '!$F$23</f>
        <v>129047106.2606716</v>
      </c>
      <c r="AF5" s="34">
        <f>PROGRAMADO!AF5/'Anexo '!$F$23</f>
        <v>140368953.55719978</v>
      </c>
      <c r="AG5" s="34">
        <f>PROGRAMADO!AG5/'Anexo '!$F$23</f>
        <v>162031630.33579966</v>
      </c>
      <c r="AH5" s="34">
        <f>PROGRAMADO!AH5/'Anexo '!$F$23</f>
        <v>215504403.01650539</v>
      </c>
      <c r="AI5" s="34">
        <f>PROGRAMADO!AI5/'Anexo '!$F$23</f>
        <v>377536033.35230505</v>
      </c>
      <c r="AJ5" s="34">
        <f>PROGRAMADO!AJ5/'Anexo '!$F$23</f>
        <v>517904986.90950483</v>
      </c>
      <c r="AK5" s="34">
        <f>PROGRAMADO!AK5/'Anexo '!$G$23</f>
        <v>10365651.733203242</v>
      </c>
      <c r="AL5" s="34">
        <f>PROGRAMADO!AL5/'Anexo '!$G$23</f>
        <v>146622950.86321381</v>
      </c>
      <c r="AM5" s="34">
        <f>PROGRAMADO!AM5/'Anexo '!$G$23</f>
        <v>156988602.59641707</v>
      </c>
      <c r="AN5" s="34">
        <f>PROGRAMADO!AN5/'Anexo '!$G$23</f>
        <v>148757367.10301653</v>
      </c>
      <c r="AO5" s="34">
        <f>PROGRAMADO!AO5/'Anexo '!$G$23</f>
        <v>200001035.80236876</v>
      </c>
      <c r="AP5" s="34">
        <f>PROGRAMADO!AP5/'Anexo '!$G$23</f>
        <v>348758402.90538526</v>
      </c>
      <c r="AQ5" s="34">
        <f>PROGRAMADO!AQ5/'Anexo '!$G$23</f>
        <v>505747005.50180233</v>
      </c>
      <c r="AR5" s="34">
        <f>PROGRAMADO!AR5/'Anexo '!$H$23</f>
        <v>20601753.777378574</v>
      </c>
      <c r="AS5" s="34">
        <f>PROGRAMADO!AS5/'Anexo '!$H$23</f>
        <v>127842118.7906194</v>
      </c>
      <c r="AT5" s="34">
        <f>PROGRAMADO!AT5/'Anexo '!$H$23</f>
        <v>148443872.56799796</v>
      </c>
      <c r="AU5" s="34">
        <f>PROGRAMADO!AU5/'Anexo '!$H$23</f>
        <v>124130202.14847279</v>
      </c>
      <c r="AV5" s="34">
        <f>PROGRAMADO!AV5/'Anexo '!$H$23</f>
        <v>195637839.13813308</v>
      </c>
      <c r="AW5" s="34">
        <f>PROGRAMADO!AW5/'Anexo '!$H$23</f>
        <v>319768041.28660583</v>
      </c>
      <c r="AX5" s="34">
        <f>PROGRAMADO!AX5/'Anexo '!$H$23</f>
        <v>468211913.85460383</v>
      </c>
      <c r="AY5" s="34">
        <f>PROGRAMADO!AY5/'Anexo '!$I$23</f>
        <v>11139420.731557447</v>
      </c>
      <c r="AZ5" s="34">
        <f>PROGRAMADO!AZ5/'Anexo '!$I$23</f>
        <v>145894962.07522035</v>
      </c>
      <c r="BA5" s="34">
        <f>PROGRAMADO!BA5/'Anexo '!$I$23</f>
        <v>157034382.80677781</v>
      </c>
      <c r="BB5" s="34">
        <f>PROGRAMADO!BB5/'Anexo '!$I$23</f>
        <v>64665711.181788243</v>
      </c>
      <c r="BC5" s="34">
        <f>PROGRAMADO!BC5/'Anexo '!$I$23</f>
        <v>179877713.30537927</v>
      </c>
      <c r="BD5" s="34">
        <f>PROGRAMADO!BD5/'Anexo '!$I$23</f>
        <v>244543424.48716751</v>
      </c>
      <c r="BE5" s="34">
        <f>PROGRAMADO!BE5/'Anexo '!$I$23</f>
        <v>401577807.29394531</v>
      </c>
      <c r="BF5" s="34">
        <f>PROGRAMADO!BF5/'Anexo '!$J$23</f>
        <v>4521178.3821243281</v>
      </c>
      <c r="BG5" s="34">
        <f>PROGRAMADO!BG5/'Anexo '!$J$23</f>
        <v>151554649.14498699</v>
      </c>
      <c r="BH5" s="34">
        <f>PROGRAMADO!BH5/'Anexo '!$J$23</f>
        <v>156075827.52711129</v>
      </c>
      <c r="BI5" s="34">
        <f>PROGRAMADO!BI5/'Anexo '!$J$23</f>
        <v>55537061.396115445</v>
      </c>
      <c r="BJ5" s="34">
        <f>PROGRAMADO!BJ5/'Anexo '!$J$23</f>
        <v>160523564.31795621</v>
      </c>
      <c r="BK5" s="34">
        <f>PROGRAMADO!BK5/'Anexo '!$J$23</f>
        <v>216060625.71407166</v>
      </c>
      <c r="BL5" s="34">
        <f>PROGRAMADO!BL5/'Anexo '!$J$23</f>
        <v>372136453.24118298</v>
      </c>
      <c r="BM5" s="34">
        <f>PROGRAMADO!BM5/'Anexo '!$K$23</f>
        <v>10662117.479698364</v>
      </c>
      <c r="BN5" s="34">
        <f>PROGRAMADO!BN5/'Anexo '!$K$23</f>
        <v>189736431.05916354</v>
      </c>
      <c r="BO5" s="34">
        <f>PROGRAMADO!BO5/'Anexo '!$K$23</f>
        <v>200398548.53886187</v>
      </c>
      <c r="BP5" s="34">
        <f>PROGRAMADO!BP5/'Anexo '!$K$23</f>
        <v>74444338.998318791</v>
      </c>
      <c r="BQ5" s="34">
        <f>PROGRAMADO!BQ5/'Anexo '!$K$23</f>
        <v>161761891.96541253</v>
      </c>
      <c r="BR5" s="34">
        <f>PROGRAMADO!BR5/'Anexo '!$K$23</f>
        <v>236206230.96373132</v>
      </c>
      <c r="BS5" s="34">
        <f>PROGRAMADO!BS5/'Anexo '!$K$23</f>
        <v>436604779.50259322</v>
      </c>
      <c r="BT5" s="34">
        <f>PROGRAMADO!BT5/'Anexo '!$L$23</f>
        <v>3348057.3766175299</v>
      </c>
      <c r="BU5" s="34">
        <f>PROGRAMADO!BU5/'Anexo '!$L$23</f>
        <v>228237308.49758139</v>
      </c>
      <c r="BV5" s="34">
        <f>PROGRAMADO!BV5/'Anexo '!$L$23</f>
        <v>46779.378851388938</v>
      </c>
      <c r="BW5" s="34">
        <f>PROGRAMADO!BW5/'Anexo '!$L$23</f>
        <v>231632145.25305033</v>
      </c>
      <c r="BX5" s="34">
        <f>PROGRAMADO!BX5/'Anexo '!$L$23</f>
        <v>84332875.780045599</v>
      </c>
      <c r="BY5" s="34">
        <f>PROGRAMADO!BY5/'Anexo '!$L$23</f>
        <v>146305164.66511229</v>
      </c>
      <c r="BZ5" s="34">
        <f>PROGRAMADO!BZ5/'Anexo '!$L$23</f>
        <v>230638040.44515789</v>
      </c>
      <c r="CA5" s="34">
        <f>PROGRAMADO!CA5/'Anexo '!$L$23</f>
        <v>462270185.69820821</v>
      </c>
      <c r="CB5" s="34">
        <f>PROGRAMADO!CB5/'Anexo '!$M$23</f>
        <v>3278451.0510516269</v>
      </c>
      <c r="CC5" s="34">
        <f>PROGRAMADO!CC5/'Anexo '!$M$23</f>
        <v>252161108.9335162</v>
      </c>
      <c r="CD5" s="34">
        <f>PROGRAMADO!CD5/'Anexo '!$M$23</f>
        <v>384892.75272007368</v>
      </c>
      <c r="CE5" s="34">
        <f>PROGRAMADO!CE5/'Anexo '!$M$23</f>
        <v>255824452.73728791</v>
      </c>
      <c r="CF5" s="34">
        <f>PROGRAMADO!CF5/'Anexo '!$M$23</f>
        <v>82172479.760774434</v>
      </c>
      <c r="CG5" s="34">
        <f>PROGRAMADO!CG5/'Anexo '!$M$23</f>
        <v>215229562.88767037</v>
      </c>
      <c r="CH5" s="34">
        <f>PROGRAMADO!CH5/'Anexo '!$M$23</f>
        <v>297402042.64844477</v>
      </c>
      <c r="CI5" s="35">
        <f>PROGRAMADO!CI5/'Anexo '!$M$23</f>
        <v>553226495.38573265</v>
      </c>
    </row>
    <row r="6" spans="1:87" x14ac:dyDescent="0.25">
      <c r="A6" s="15" t="s">
        <v>0</v>
      </c>
      <c r="B6" s="27">
        <f>PROGRAMADO!B6/'Anexo '!$B$23</f>
        <v>0</v>
      </c>
      <c r="C6" s="28">
        <f>PROGRAMADO!C6/'Anexo '!$B$23</f>
        <v>12689496.186312826</v>
      </c>
      <c r="D6" s="28">
        <f>PROGRAMADO!D6/'Anexo '!$B$23</f>
        <v>12689496.186312826</v>
      </c>
      <c r="E6" s="28">
        <f>PROGRAMADO!E6/'Anexo '!$B$23</f>
        <v>9549738.6203363892</v>
      </c>
      <c r="F6" s="28">
        <f>PROGRAMADO!F6/'Anexo '!$B$23</f>
        <v>30359839.453242861</v>
      </c>
      <c r="G6" s="28">
        <f>PROGRAMADO!G6/'Anexo '!$B$23</f>
        <v>39909578.073579252</v>
      </c>
      <c r="H6" s="28">
        <f>PROGRAMADO!H6/'Anexo '!$B$23</f>
        <v>52599074.259892076</v>
      </c>
      <c r="I6" s="28">
        <f>PROGRAMADO!I6/'Anexo '!$C$23</f>
        <v>0</v>
      </c>
      <c r="J6" s="28">
        <f>PROGRAMADO!J6/'Anexo '!$C$23</f>
        <v>17399432.690780066</v>
      </c>
      <c r="K6" s="28">
        <f>PROGRAMADO!K6/'Anexo '!$C$23</f>
        <v>17399432.690780066</v>
      </c>
      <c r="L6" s="28">
        <f>PROGRAMADO!L6/'Anexo '!$C$23</f>
        <v>2786376.63506858</v>
      </c>
      <c r="M6" s="28">
        <f>PROGRAMADO!M6/'Anexo '!$C$23</f>
        <v>36998923.63633956</v>
      </c>
      <c r="N6" s="28">
        <f>PROGRAMADO!N6/'Anexo '!$C$23</f>
        <v>39785300.271408141</v>
      </c>
      <c r="O6" s="28">
        <f>PROGRAMADO!O6/'Anexo '!$C$23</f>
        <v>57184732.962188207</v>
      </c>
      <c r="P6" s="28">
        <f>PROGRAMADO!P6/'Anexo '!$D$23</f>
        <v>0</v>
      </c>
      <c r="Q6" s="28">
        <f>PROGRAMADO!Q6/'Anexo '!$D$23</f>
        <v>19980001.380409479</v>
      </c>
      <c r="R6" s="28">
        <f>PROGRAMADO!R6/'Anexo '!$D$23</f>
        <v>19980001.380409479</v>
      </c>
      <c r="S6" s="28">
        <f>PROGRAMADO!S6/'Anexo '!$D$23</f>
        <v>7035106.322902875</v>
      </c>
      <c r="T6" s="28">
        <f>PROGRAMADO!T6/'Anexo '!$D$23</f>
        <v>38257750.93648234</v>
      </c>
      <c r="U6" s="28">
        <f>PROGRAMADO!U6/'Anexo '!$D$23</f>
        <v>45292857.259385213</v>
      </c>
      <c r="V6" s="28">
        <f>PROGRAMADO!V6/'Anexo '!$D$23</f>
        <v>65272858.639794692</v>
      </c>
      <c r="W6" s="28">
        <f>PROGRAMADO!W6/'Anexo '!$E$23</f>
        <v>0</v>
      </c>
      <c r="X6" s="28">
        <f>PROGRAMADO!X6/'Anexo '!$E$23</f>
        <v>27275185.348974798</v>
      </c>
      <c r="Y6" s="28">
        <f>PROGRAMADO!Y6/'Anexo '!$E$23</f>
        <v>27275185.348974798</v>
      </c>
      <c r="Z6" s="28">
        <f>PROGRAMADO!Z6/'Anexo '!$E$23</f>
        <v>7593180.0660957489</v>
      </c>
      <c r="AA6" s="28">
        <f>PROGRAMADO!AA6/'Anexo '!$E$23</f>
        <v>35161612.951420225</v>
      </c>
      <c r="AB6" s="28">
        <f>PROGRAMADO!AB6/'Anexo '!$E$23</f>
        <v>42754793.017515972</v>
      </c>
      <c r="AC6" s="28">
        <f>PROGRAMADO!AC6/'Anexo '!$E$23</f>
        <v>70029978.366490766</v>
      </c>
      <c r="AD6" s="28">
        <f>PROGRAMADO!AD6/'Anexo '!$F$23</f>
        <v>0</v>
      </c>
      <c r="AE6" s="28">
        <f>PROGRAMADO!AE6/'Anexo '!$F$23</f>
        <v>25271945.076835513</v>
      </c>
      <c r="AF6" s="28">
        <f>PROGRAMADO!AF6/'Anexo '!$F$23</f>
        <v>25271945.076835513</v>
      </c>
      <c r="AG6" s="28">
        <f>PROGRAMADO!AG6/'Anexo '!$F$23</f>
        <v>11924688.616960729</v>
      </c>
      <c r="AH6" s="28">
        <f>PROGRAMADO!AH6/'Anexo '!$F$23</f>
        <v>38103679.7381901</v>
      </c>
      <c r="AI6" s="28">
        <f>PROGRAMADO!AI6/'Anexo '!$F$23</f>
        <v>50028368.355150826</v>
      </c>
      <c r="AJ6" s="28">
        <f>PROGRAMADO!AJ6/'Anexo '!$F$23</f>
        <v>75300313.431986332</v>
      </c>
      <c r="AK6" s="28">
        <f>PROGRAMADO!AK6/'Anexo '!$G$23</f>
        <v>0</v>
      </c>
      <c r="AL6" s="28">
        <f>PROGRAMADO!AL6/'Anexo '!$G$23</f>
        <v>33906315.852237314</v>
      </c>
      <c r="AM6" s="28">
        <f>PROGRAMADO!AM6/'Anexo '!$G$23</f>
        <v>33906315.852237314</v>
      </c>
      <c r="AN6" s="28">
        <f>PROGRAMADO!AN6/'Anexo '!$G$23</f>
        <v>15748217.361845138</v>
      </c>
      <c r="AO6" s="28">
        <f>PROGRAMADO!AO6/'Anexo '!$G$23</f>
        <v>46915114.291134782</v>
      </c>
      <c r="AP6" s="28">
        <f>PROGRAMADO!AP6/'Anexo '!$G$23</f>
        <v>62663331.652979918</v>
      </c>
      <c r="AQ6" s="28">
        <f>PROGRAMADO!AQ6/'Anexo '!$G$23</f>
        <v>96569647.505217224</v>
      </c>
      <c r="AR6" s="28">
        <f>PROGRAMADO!AR6/'Anexo '!$H$23</f>
        <v>0</v>
      </c>
      <c r="AS6" s="28">
        <f>PROGRAMADO!AS6/'Anexo '!$H$23</f>
        <v>17778234.917586815</v>
      </c>
      <c r="AT6" s="28">
        <f>PROGRAMADO!AT6/'Anexo '!$H$23</f>
        <v>17778234.917586815</v>
      </c>
      <c r="AU6" s="28">
        <f>PROGRAMADO!AU6/'Anexo '!$H$23</f>
        <v>19563101.967282508</v>
      </c>
      <c r="AV6" s="28">
        <f>PROGRAMADO!AV6/'Anexo '!$H$23</f>
        <v>52924673.521957062</v>
      </c>
      <c r="AW6" s="28">
        <f>PROGRAMADO!AW6/'Anexo '!$H$23</f>
        <v>72487775.489239573</v>
      </c>
      <c r="AX6" s="28">
        <f>PROGRAMADO!AX6/'Anexo '!$H$23</f>
        <v>90266010.406826377</v>
      </c>
      <c r="AY6" s="28">
        <f>PROGRAMADO!AY6/'Anexo '!$I$23</f>
        <v>0</v>
      </c>
      <c r="AZ6" s="28">
        <f>PROGRAMADO!AZ6/'Anexo '!$I$23</f>
        <v>26601558.529019952</v>
      </c>
      <c r="BA6" s="28">
        <f>PROGRAMADO!BA6/'Anexo '!$I$23</f>
        <v>26601558.529019952</v>
      </c>
      <c r="BB6" s="28">
        <f>PROGRAMADO!BB6/'Anexo '!$I$23</f>
        <v>12373483.967379281</v>
      </c>
      <c r="BC6" s="28">
        <f>PROGRAMADO!BC6/'Anexo '!$I$23</f>
        <v>61448856.603532434</v>
      </c>
      <c r="BD6" s="28">
        <f>PROGRAMADO!BD6/'Anexo '!$I$23</f>
        <v>73822340.57091172</v>
      </c>
      <c r="BE6" s="28">
        <f>PROGRAMADO!BE6/'Anexo '!$I$23</f>
        <v>100423899.09993167</v>
      </c>
      <c r="BF6" s="28">
        <f>PROGRAMADO!BF6/'Anexo '!$J$23</f>
        <v>0</v>
      </c>
      <c r="BG6" s="28">
        <f>PROGRAMADO!BG6/'Anexo '!$J$23</f>
        <v>30870787.820044577</v>
      </c>
      <c r="BH6" s="28">
        <f>PROGRAMADO!BH6/'Anexo '!$J$23</f>
        <v>30870787.820044577</v>
      </c>
      <c r="BI6" s="28">
        <f>PROGRAMADO!BI6/'Anexo '!$J$23</f>
        <v>12058565.254443631</v>
      </c>
      <c r="BJ6" s="28">
        <f>PROGRAMADO!BJ6/'Anexo '!$J$23</f>
        <v>68596257.28118971</v>
      </c>
      <c r="BK6" s="28">
        <f>PROGRAMADO!BK6/'Anexo '!$J$23</f>
        <v>80654822.53563334</v>
      </c>
      <c r="BL6" s="28">
        <f>PROGRAMADO!BL6/'Anexo '!$J$23</f>
        <v>111525610.35567792</v>
      </c>
      <c r="BM6" s="28">
        <f>PROGRAMADO!BM6/'Anexo '!$K$23</f>
        <v>0</v>
      </c>
      <c r="BN6" s="28">
        <f>PROGRAMADO!BN6/'Anexo '!$K$23</f>
        <v>39517052.795404986</v>
      </c>
      <c r="BO6" s="28">
        <f>PROGRAMADO!BO6/'Anexo '!$K$23</f>
        <v>39517052.795404986</v>
      </c>
      <c r="BP6" s="28">
        <f>PROGRAMADO!BP6/'Anexo '!$K$23</f>
        <v>18017088.470989063</v>
      </c>
      <c r="BQ6" s="28">
        <f>PROGRAMADO!BQ6/'Anexo '!$K$23</f>
        <v>59283326.436053745</v>
      </c>
      <c r="BR6" s="28">
        <f>PROGRAMADO!BR6/'Anexo '!$K$23</f>
        <v>77300414.907042816</v>
      </c>
      <c r="BS6" s="28">
        <f>PROGRAMADO!BS6/'Anexo '!$K$23</f>
        <v>116817467.7024478</v>
      </c>
      <c r="BT6" s="28">
        <f>PROGRAMADO!BT6/'Anexo '!$L$23</f>
        <v>0</v>
      </c>
      <c r="BU6" s="28">
        <f>PROGRAMADO!BU6/'Anexo '!$L$23</f>
        <v>40044537.620982982</v>
      </c>
      <c r="BV6" s="28">
        <f>PROGRAMADO!BV6/'Anexo '!$L$23</f>
        <v>0</v>
      </c>
      <c r="BW6" s="28">
        <f>PROGRAMADO!BW6/'Anexo '!$L$23</f>
        <v>40044537.620982982</v>
      </c>
      <c r="BX6" s="28">
        <f>PROGRAMADO!BX6/'Anexo '!$L$23</f>
        <v>44053322.416729301</v>
      </c>
      <c r="BY6" s="28">
        <f>PROGRAMADO!BY6/'Anexo '!$L$23</f>
        <v>40201777.998615518</v>
      </c>
      <c r="BZ6" s="28">
        <f>PROGRAMADO!BZ6/'Anexo '!$L$23</f>
        <v>84255100.415344819</v>
      </c>
      <c r="CA6" s="28">
        <f>PROGRAMADO!CA6/'Anexo '!$L$23</f>
        <v>124299638.03632779</v>
      </c>
      <c r="CB6" s="28">
        <f>PROGRAMADO!CB6/'Anexo '!$M$23</f>
        <v>0</v>
      </c>
      <c r="CC6" s="28">
        <f>PROGRAMADO!CC6/'Anexo '!$M$23</f>
        <v>45241549.87565814</v>
      </c>
      <c r="CD6" s="28">
        <f>PROGRAMADO!CD6/'Anexo '!$M$23</f>
        <v>0</v>
      </c>
      <c r="CE6" s="28">
        <f>PROGRAMADO!CE6/'Anexo '!$M$23</f>
        <v>45241549.87565814</v>
      </c>
      <c r="CF6" s="28">
        <f>PROGRAMADO!CF6/'Anexo '!$M$23</f>
        <v>32566574.781627733</v>
      </c>
      <c r="CG6" s="28">
        <f>PROGRAMADO!CG6/'Anexo '!$M$23</f>
        <v>47500948.923619591</v>
      </c>
      <c r="CH6" s="28">
        <f>PROGRAMADO!CH6/'Anexo '!$M$23</f>
        <v>80067523.705247328</v>
      </c>
      <c r="CI6" s="29">
        <f>PROGRAMADO!CI6/'Anexo '!$M$23</f>
        <v>125309073.58090547</v>
      </c>
    </row>
    <row r="7" spans="1:87" x14ac:dyDescent="0.25">
      <c r="A7" s="15" t="s">
        <v>1</v>
      </c>
      <c r="B7" s="27">
        <f>PROGRAMADO!B7/'Anexo '!$B$23</f>
        <v>2774438.4021106847</v>
      </c>
      <c r="C7" s="28">
        <f>PROGRAMADO!C7/'Anexo '!$B$23</f>
        <v>1674065.5547213238</v>
      </c>
      <c r="D7" s="28">
        <f>PROGRAMADO!D7/'Anexo '!$B$23</f>
        <v>4448503.9568320084</v>
      </c>
      <c r="E7" s="28">
        <f>PROGRAMADO!E7/'Anexo '!$B$23</f>
        <v>15004014.174145516</v>
      </c>
      <c r="F7" s="28">
        <f>PROGRAMADO!F7/'Anexo '!$B$23</f>
        <v>14280573.702048233</v>
      </c>
      <c r="G7" s="28">
        <f>PROGRAMADO!G7/'Anexo '!$B$23</f>
        <v>29284587.876193751</v>
      </c>
      <c r="H7" s="28">
        <f>PROGRAMADO!H7/'Anexo '!$B$23</f>
        <v>33733091.833025753</v>
      </c>
      <c r="I7" s="28">
        <f>PROGRAMADO!I7/'Anexo '!$C$23</f>
        <v>2774672.0979187628</v>
      </c>
      <c r="J7" s="28">
        <f>PROGRAMADO!J7/'Anexo '!$C$23</f>
        <v>1528790.6999682251</v>
      </c>
      <c r="K7" s="28">
        <f>PROGRAMADO!K7/'Anexo '!$C$23</f>
        <v>4303462.7978869881</v>
      </c>
      <c r="L7" s="28">
        <f>PROGRAMADO!L7/'Anexo '!$C$23</f>
        <v>17172726.72112482</v>
      </c>
      <c r="M7" s="28">
        <f>PROGRAMADO!M7/'Anexo '!$C$23</f>
        <v>9303648.1226500031</v>
      </c>
      <c r="N7" s="28">
        <f>PROGRAMADO!N7/'Anexo '!$C$23</f>
        <v>26476374.843774822</v>
      </c>
      <c r="O7" s="28">
        <f>PROGRAMADO!O7/'Anexo '!$C$23</f>
        <v>30779837.641661812</v>
      </c>
      <c r="P7" s="28">
        <f>PROGRAMADO!P7/'Anexo '!$D$23</f>
        <v>2220687.6321585211</v>
      </c>
      <c r="Q7" s="28">
        <f>PROGRAMADO!Q7/'Anexo '!$D$23</f>
        <v>1993982.8578240981</v>
      </c>
      <c r="R7" s="28">
        <f>PROGRAMADO!R7/'Anexo '!$D$23</f>
        <v>4214670.489982619</v>
      </c>
      <c r="S7" s="28">
        <f>PROGRAMADO!S7/'Anexo '!$D$23</f>
        <v>21563948.598570649</v>
      </c>
      <c r="T7" s="28">
        <f>PROGRAMADO!T7/'Anexo '!$D$23</f>
        <v>9048675.8108337037</v>
      </c>
      <c r="U7" s="28">
        <f>PROGRAMADO!U7/'Anexo '!$D$23</f>
        <v>30612624.409404352</v>
      </c>
      <c r="V7" s="28">
        <f>PROGRAMADO!V7/'Anexo '!$D$23</f>
        <v>34827294.899386972</v>
      </c>
      <c r="W7" s="28">
        <f>PROGRAMADO!W7/'Anexo '!$E$23</f>
        <v>2147292.2854427998</v>
      </c>
      <c r="X7" s="28">
        <f>PROGRAMADO!X7/'Anexo '!$E$23</f>
        <v>940137.68951730977</v>
      </c>
      <c r="Y7" s="28">
        <f>PROGRAMADO!Y7/'Anexo '!$E$23</f>
        <v>3087429.9749601097</v>
      </c>
      <c r="Z7" s="28">
        <f>PROGRAMADO!Z7/'Anexo '!$E$23</f>
        <v>15166671.845959853</v>
      </c>
      <c r="AA7" s="28">
        <f>PROGRAMADO!AA7/'Anexo '!$E$23</f>
        <v>14835896.087442406</v>
      </c>
      <c r="AB7" s="28">
        <f>PROGRAMADO!AB7/'Anexo '!$E$23</f>
        <v>30002567.933402259</v>
      </c>
      <c r="AC7" s="28">
        <f>PROGRAMADO!AC7/'Anexo '!$E$23</f>
        <v>33089997.908362366</v>
      </c>
      <c r="AD7" s="28">
        <f>PROGRAMADO!AD7/'Anexo '!$F$23</f>
        <v>2159671.4285714286</v>
      </c>
      <c r="AE7" s="28">
        <f>PROGRAMADO!AE7/'Anexo '!$F$23</f>
        <v>705660.78542970971</v>
      </c>
      <c r="AF7" s="28">
        <f>PROGRAMADO!AF7/'Anexo '!$F$23</f>
        <v>2865332.2140011382</v>
      </c>
      <c r="AG7" s="28">
        <f>PROGRAMADO!AG7/'Anexo '!$F$23</f>
        <v>18371323.847467273</v>
      </c>
      <c r="AH7" s="28">
        <f>PROGRAMADO!AH7/'Anexo '!$F$23</f>
        <v>15048999.772339216</v>
      </c>
      <c r="AI7" s="28">
        <f>PROGRAMADO!AI7/'Anexo '!$F$23</f>
        <v>33420323.619806487</v>
      </c>
      <c r="AJ7" s="28">
        <f>PROGRAMADO!AJ7/'Anexo '!$F$23</f>
        <v>36285655.833807625</v>
      </c>
      <c r="AK7" s="28">
        <f>PROGRAMADO!AK7/'Anexo '!$G$23</f>
        <v>1.3341648372496411</v>
      </c>
      <c r="AL7" s="28">
        <f>PROGRAMADO!AL7/'Anexo '!$G$23</f>
        <v>3209259.885627558</v>
      </c>
      <c r="AM7" s="28">
        <f>PROGRAMADO!AM7/'Anexo '!$G$23</f>
        <v>4543424.7228771988</v>
      </c>
      <c r="AN7" s="28">
        <f>PROGRAMADO!AN7/'Anexo '!$G$23</f>
        <v>14341151.042090144</v>
      </c>
      <c r="AO7" s="28">
        <f>PROGRAMADO!AO7/'Anexo '!$G$23</f>
        <v>31406718.974442367</v>
      </c>
      <c r="AP7" s="28">
        <f>PROGRAMADO!AP7/'Anexo '!$G$23</f>
        <v>45747870.016532511</v>
      </c>
      <c r="AQ7" s="28">
        <f>PROGRAMADO!AQ7/'Anexo '!$G$23</f>
        <v>50291294.739409707</v>
      </c>
      <c r="AR7" s="28">
        <f>PROGRAMADO!AR7/'Anexo '!$H$23</f>
        <v>1676936.8002106145</v>
      </c>
      <c r="AS7" s="28">
        <f>PROGRAMADO!AS7/'Anexo '!$H$23</f>
        <v>2316261.4921613266</v>
      </c>
      <c r="AT7" s="28">
        <f>PROGRAMADO!AT7/'Anexo '!$H$23</f>
        <v>3993198.2923719408</v>
      </c>
      <c r="AU7" s="28">
        <f>PROGRAMADO!AU7/'Anexo '!$H$23</f>
        <v>24122384.175016388</v>
      </c>
      <c r="AV7" s="28">
        <f>PROGRAMADO!AV7/'Anexo '!$H$23</f>
        <v>34529384.211151205</v>
      </c>
      <c r="AW7" s="28">
        <f>PROGRAMADO!AW7/'Anexo '!$H$23</f>
        <v>58651768.386167593</v>
      </c>
      <c r="AX7" s="28">
        <f>PROGRAMADO!AX7/'Anexo '!$H$23</f>
        <v>62644966.678539537</v>
      </c>
      <c r="AY7" s="28">
        <f>PROGRAMADO!AY7/'Anexo '!$I$23</f>
        <v>1246867.1133417557</v>
      </c>
      <c r="AZ7" s="28">
        <f>PROGRAMADO!AZ7/'Anexo '!$I$23</f>
        <v>5228736.8074365007</v>
      </c>
      <c r="BA7" s="28">
        <f>PROGRAMADO!BA7/'Anexo '!$I$23</f>
        <v>6475603.9207782568</v>
      </c>
      <c r="BB7" s="28">
        <f>PROGRAMADO!BB7/'Anexo '!$I$23</f>
        <v>17448531.625284497</v>
      </c>
      <c r="BC7" s="28">
        <f>PROGRAMADO!BC7/'Anexo '!$I$23</f>
        <v>45698368.96411033</v>
      </c>
      <c r="BD7" s="28">
        <f>PROGRAMADO!BD7/'Anexo '!$I$23</f>
        <v>63146900.589394823</v>
      </c>
      <c r="BE7" s="28">
        <f>PROGRAMADO!BE7/'Anexo '!$I$23</f>
        <v>69622504.510173082</v>
      </c>
      <c r="BF7" s="28">
        <f>PROGRAMADO!BF7/'Anexo '!$J$23</f>
        <v>512281.5643085913</v>
      </c>
      <c r="BG7" s="28">
        <f>PROGRAMADO!BG7/'Anexo '!$J$23</f>
        <v>2576276.900601225</v>
      </c>
      <c r="BH7" s="28">
        <f>PROGRAMADO!BH7/'Anexo '!$J$23</f>
        <v>3088558.4649098157</v>
      </c>
      <c r="BI7" s="28">
        <f>PROGRAMADO!BI7/'Anexo '!$J$23</f>
        <v>16950367.009421062</v>
      </c>
      <c r="BJ7" s="28">
        <f>PROGRAMADO!BJ7/'Anexo '!$J$23</f>
        <v>24969857.794384819</v>
      </c>
      <c r="BK7" s="28">
        <f>PROGRAMADO!BK7/'Anexo '!$J$23</f>
        <v>41920224.80380588</v>
      </c>
      <c r="BL7" s="28">
        <f>PROGRAMADO!BL7/'Anexo '!$J$23</f>
        <v>45008783.268715702</v>
      </c>
      <c r="BM7" s="28">
        <f>PROGRAMADO!BM7/'Anexo '!$K$23</f>
        <v>606652.24778476928</v>
      </c>
      <c r="BN7" s="28">
        <f>PROGRAMADO!BN7/'Anexo '!$K$23</f>
        <v>5341125.4754886441</v>
      </c>
      <c r="BO7" s="28">
        <f>PROGRAMADO!BO7/'Anexo '!$K$23</f>
        <v>5947777.7232734133</v>
      </c>
      <c r="BP7" s="28">
        <f>PROGRAMADO!BP7/'Anexo '!$K$23</f>
        <v>17037907.181049131</v>
      </c>
      <c r="BQ7" s="28">
        <f>PROGRAMADO!BQ7/'Anexo '!$K$23</f>
        <v>16844842.157837704</v>
      </c>
      <c r="BR7" s="28">
        <f>PROGRAMADO!BR7/'Anexo '!$K$23</f>
        <v>33882749.338886835</v>
      </c>
      <c r="BS7" s="28">
        <f>PROGRAMADO!BS7/'Anexo '!$K$23</f>
        <v>39830527.062160246</v>
      </c>
      <c r="BT7" s="28">
        <f>PROGRAMADO!BT7/'Anexo '!$L$23</f>
        <v>1219453.5540011975</v>
      </c>
      <c r="BU7" s="28">
        <f>PROGRAMADO!BU7/'Anexo '!$L$23</f>
        <v>3760442.0152293099</v>
      </c>
      <c r="BV7" s="28">
        <f>PROGRAMADO!BV7/'Anexo '!$L$23</f>
        <v>0</v>
      </c>
      <c r="BW7" s="28">
        <f>PROGRAMADO!BW7/'Anexo '!$L$23</f>
        <v>4979895.5692305081</v>
      </c>
      <c r="BX7" s="28">
        <f>PROGRAMADO!BX7/'Anexo '!$L$23</f>
        <v>8892588.6374736167</v>
      </c>
      <c r="BY7" s="28">
        <f>PROGRAMADO!BY7/'Anexo '!$L$23</f>
        <v>18540626.074991398</v>
      </c>
      <c r="BZ7" s="28">
        <f>PROGRAMADO!BZ7/'Anexo '!$L$23</f>
        <v>27433214.712465014</v>
      </c>
      <c r="CA7" s="28">
        <f>PROGRAMADO!CA7/'Anexo '!$L$23</f>
        <v>32413110.281695522</v>
      </c>
      <c r="CB7" s="28">
        <f>PROGRAMADO!CB7/'Anexo '!$M$23</f>
        <v>321068.95546647295</v>
      </c>
      <c r="CC7" s="28">
        <f>PROGRAMADO!CC7/'Anexo '!$M$23</f>
        <v>4364802.1642345926</v>
      </c>
      <c r="CD7" s="28">
        <f>PROGRAMADO!CD7/'Anexo '!$M$23</f>
        <v>0</v>
      </c>
      <c r="CE7" s="28">
        <f>PROGRAMADO!CE7/'Anexo '!$M$23</f>
        <v>4685871.1197010661</v>
      </c>
      <c r="CF7" s="28">
        <f>PROGRAMADO!CF7/'Anexo '!$M$23</f>
        <v>12289519.459400244</v>
      </c>
      <c r="CG7" s="28">
        <f>PROGRAMADO!CG7/'Anexo '!$M$23</f>
        <v>18753655.446701642</v>
      </c>
      <c r="CH7" s="28">
        <f>PROGRAMADO!CH7/'Anexo '!$M$23</f>
        <v>31043174.906101886</v>
      </c>
      <c r="CI7" s="29">
        <f>PROGRAMADO!CI7/'Anexo '!$M$23</f>
        <v>35729046.025802955</v>
      </c>
    </row>
    <row r="8" spans="1:87" x14ac:dyDescent="0.25">
      <c r="A8" s="15" t="s">
        <v>2</v>
      </c>
      <c r="B8" s="27">
        <f>PROGRAMADO!B8/'Anexo '!$B$23</f>
        <v>0</v>
      </c>
      <c r="C8" s="28">
        <f>PROGRAMADO!C8/'Anexo '!$B$23</f>
        <v>542749.22989481653</v>
      </c>
      <c r="D8" s="28">
        <f>PROGRAMADO!D8/'Anexo '!$B$23</f>
        <v>542749.22989481653</v>
      </c>
      <c r="E8" s="28">
        <f>PROGRAMADO!E8/'Anexo '!$B$23</f>
        <v>1294199.456891652</v>
      </c>
      <c r="F8" s="28">
        <f>PROGRAMADO!F8/'Anexo '!$B$23</f>
        <v>821945.35726565286</v>
      </c>
      <c r="G8" s="28">
        <f>PROGRAMADO!G8/'Anexo '!$B$23</f>
        <v>2116144.8141573048</v>
      </c>
      <c r="H8" s="28">
        <f>PROGRAMADO!H8/'Anexo '!$B$23</f>
        <v>2658894.0440521212</v>
      </c>
      <c r="I8" s="28">
        <f>PROGRAMADO!I8/'Anexo '!$C$23</f>
        <v>0</v>
      </c>
      <c r="J8" s="28">
        <f>PROGRAMADO!J8/'Anexo '!$C$23</f>
        <v>645183.4983847905</v>
      </c>
      <c r="K8" s="28">
        <f>PROGRAMADO!K8/'Anexo '!$C$23</f>
        <v>645183.4983847905</v>
      </c>
      <c r="L8" s="28">
        <f>PROGRAMADO!L8/'Anexo '!$C$23</f>
        <v>1164718.2743737753</v>
      </c>
      <c r="M8" s="28">
        <f>PROGRAMADO!M8/'Anexo '!$C$23</f>
        <v>51494.925329661593</v>
      </c>
      <c r="N8" s="28">
        <f>PROGRAMADO!N8/'Anexo '!$C$23</f>
        <v>1216213.1997034368</v>
      </c>
      <c r="O8" s="28">
        <f>PROGRAMADO!O8/'Anexo '!$C$23</f>
        <v>1861396.6980882273</v>
      </c>
      <c r="P8" s="28">
        <f>PROGRAMADO!P8/'Anexo '!$D$23</f>
        <v>0</v>
      </c>
      <c r="Q8" s="28">
        <f>PROGRAMADO!Q8/'Anexo '!$D$23</f>
        <v>612650.82542212296</v>
      </c>
      <c r="R8" s="28">
        <f>PROGRAMADO!R8/'Anexo '!$D$23</f>
        <v>612650.82542212296</v>
      </c>
      <c r="S8" s="28">
        <f>PROGRAMADO!S8/'Anexo '!$D$23</f>
        <v>779071.9883543636</v>
      </c>
      <c r="T8" s="28">
        <f>PROGRAMADO!T8/'Anexo '!$D$23</f>
        <v>50196.708350849891</v>
      </c>
      <c r="U8" s="28">
        <f>PROGRAMADO!U8/'Anexo '!$D$23</f>
        <v>829268.69670521352</v>
      </c>
      <c r="V8" s="28">
        <f>PROGRAMADO!V8/'Anexo '!$D$23</f>
        <v>1441919.5221273364</v>
      </c>
      <c r="W8" s="28">
        <f>PROGRAMADO!W8/'Anexo '!$E$23</f>
        <v>0</v>
      </c>
      <c r="X8" s="28">
        <f>PROGRAMADO!X8/'Anexo '!$E$23</f>
        <v>582670.48340733745</v>
      </c>
      <c r="Y8" s="28">
        <f>PROGRAMADO!Y8/'Anexo '!$E$23</f>
        <v>582670.48340733745</v>
      </c>
      <c r="Z8" s="28">
        <f>PROGRAMADO!Z8/'Anexo '!$E$23</f>
        <v>935260.82721280318</v>
      </c>
      <c r="AA8" s="28">
        <f>PROGRAMADO!AA8/'Anexo '!$E$23</f>
        <v>47808.860177012306</v>
      </c>
      <c r="AB8" s="28">
        <f>PROGRAMADO!AB8/'Anexo '!$E$23</f>
        <v>983069.68738981558</v>
      </c>
      <c r="AC8" s="28">
        <f>PROGRAMADO!AC8/'Anexo '!$E$23</f>
        <v>1565740.1707971529</v>
      </c>
      <c r="AD8" s="28">
        <f>PROGRAMADO!AD8/'Anexo '!$F$23</f>
        <v>0</v>
      </c>
      <c r="AE8" s="28">
        <f>PROGRAMADO!AE8/'Anexo '!$F$23</f>
        <v>507342.06033010816</v>
      </c>
      <c r="AF8" s="28">
        <f>PROGRAMADO!AF8/'Anexo '!$F$23</f>
        <v>507342.06033010816</v>
      </c>
      <c r="AG8" s="28">
        <f>PROGRAMADO!AG8/'Anexo '!$F$23</f>
        <v>529311.3261240751</v>
      </c>
      <c r="AH8" s="28">
        <f>PROGRAMADO!AH8/'Anexo '!$F$23</f>
        <v>51223.676721684686</v>
      </c>
      <c r="AI8" s="28">
        <f>PROGRAMADO!AI8/'Anexo '!$F$23</f>
        <v>580535.00284575985</v>
      </c>
      <c r="AJ8" s="28">
        <f>PROGRAMADO!AJ8/'Anexo '!$F$23</f>
        <v>1087877.063175868</v>
      </c>
      <c r="AK8" s="28">
        <f>PROGRAMADO!AK8/'Anexo '!$G$23</f>
        <v>0</v>
      </c>
      <c r="AL8" s="28">
        <f>PROGRAMADO!AL8/'Anexo '!$G$23</f>
        <v>469983.19646583736</v>
      </c>
      <c r="AM8" s="28">
        <f>PROGRAMADO!AM8/'Anexo '!$G$23</f>
        <v>469983.19646583736</v>
      </c>
      <c r="AN8" s="28">
        <f>PROGRAMADO!AN8/'Anexo '!$G$23</f>
        <v>480639.99783180206</v>
      </c>
      <c r="AO8" s="28">
        <f>PROGRAMADO!AO8/'Anexo '!$G$23</f>
        <v>0</v>
      </c>
      <c r="AP8" s="28">
        <f>PROGRAMADO!AP8/'Anexo '!$G$23</f>
        <v>480639.99783180206</v>
      </c>
      <c r="AQ8" s="28">
        <f>PROGRAMADO!AQ8/'Anexo '!$G$23</f>
        <v>950623.19429763942</v>
      </c>
      <c r="AR8" s="28">
        <f>PROGRAMADO!AR8/'Anexo '!$H$23</f>
        <v>0</v>
      </c>
      <c r="AS8" s="28">
        <f>PROGRAMADO!AS8/'Anexo '!$H$23</f>
        <v>283768.34487066319</v>
      </c>
      <c r="AT8" s="28">
        <f>PROGRAMADO!AT8/'Anexo '!$H$23</f>
        <v>283768.34487066319</v>
      </c>
      <c r="AU8" s="28">
        <f>PROGRAMADO!AU8/'Anexo '!$H$23</f>
        <v>0</v>
      </c>
      <c r="AV8" s="28">
        <f>PROGRAMADO!AV8/'Anexo '!$H$23</f>
        <v>0</v>
      </c>
      <c r="AW8" s="28">
        <f>PROGRAMADO!AW8/'Anexo '!$H$23</f>
        <v>0</v>
      </c>
      <c r="AX8" s="28">
        <f>PROGRAMADO!AX8/'Anexo '!$H$23</f>
        <v>283768.34487066319</v>
      </c>
      <c r="AY8" s="28">
        <f>PROGRAMADO!AY8/'Anexo '!$I$23</f>
        <v>0</v>
      </c>
      <c r="AZ8" s="28">
        <f>PROGRAMADO!AZ8/'Anexo '!$I$23</f>
        <v>623706.30539401958</v>
      </c>
      <c r="BA8" s="28">
        <f>PROGRAMADO!BA8/'Anexo '!$I$23</f>
        <v>623706.30539401958</v>
      </c>
      <c r="BB8" s="28">
        <f>PROGRAMADO!BB8/'Anexo '!$I$23</f>
        <v>0</v>
      </c>
      <c r="BC8" s="28">
        <f>PROGRAMADO!BC8/'Anexo '!$I$23</f>
        <v>0</v>
      </c>
      <c r="BD8" s="28">
        <f>PROGRAMADO!BD8/'Anexo '!$I$23</f>
        <v>0</v>
      </c>
      <c r="BE8" s="28">
        <f>PROGRAMADO!BE8/'Anexo '!$I$23</f>
        <v>623706.30539401958</v>
      </c>
      <c r="BF8" s="28">
        <f>PROGRAMADO!BF8/'Anexo '!$J$23</f>
        <v>0</v>
      </c>
      <c r="BG8" s="28">
        <f>PROGRAMADO!BG8/'Anexo '!$J$23</f>
        <v>333904.35653949168</v>
      </c>
      <c r="BH8" s="28">
        <f>PROGRAMADO!BH8/'Anexo '!$J$23</f>
        <v>333904.35653949168</v>
      </c>
      <c r="BI8" s="28">
        <f>PROGRAMADO!BI8/'Anexo '!$J$23</f>
        <v>0</v>
      </c>
      <c r="BJ8" s="28">
        <f>PROGRAMADO!BJ8/'Anexo '!$J$23</f>
        <v>0</v>
      </c>
      <c r="BK8" s="28">
        <f>PROGRAMADO!BK8/'Anexo '!$J$23</f>
        <v>0</v>
      </c>
      <c r="BL8" s="28">
        <f>PROGRAMADO!BL8/'Anexo '!$J$23</f>
        <v>333904.35653949168</v>
      </c>
      <c r="BM8" s="28">
        <f>PROGRAMADO!BM8/'Anexo '!$K$23</f>
        <v>0</v>
      </c>
      <c r="BN8" s="28">
        <f>PROGRAMADO!BN8/'Anexo '!$K$23</f>
        <v>333880.29949652834</v>
      </c>
      <c r="BO8" s="28">
        <f>PROGRAMADO!BO8/'Anexo '!$K$23</f>
        <v>333880.29949652834</v>
      </c>
      <c r="BP8" s="28">
        <f>PROGRAMADO!BP8/'Anexo '!$K$23</f>
        <v>0</v>
      </c>
      <c r="BQ8" s="28">
        <f>PROGRAMADO!BQ8/'Anexo '!$K$23</f>
        <v>0</v>
      </c>
      <c r="BR8" s="28">
        <f>PROGRAMADO!BR8/'Anexo '!$K$23</f>
        <v>0</v>
      </c>
      <c r="BS8" s="28">
        <f>PROGRAMADO!BS8/'Anexo '!$K$23</f>
        <v>333880.29949652834</v>
      </c>
      <c r="BT8" s="28">
        <f>PROGRAMADO!BT8/'Anexo '!$L$23</f>
        <v>0</v>
      </c>
      <c r="BU8" s="28">
        <f>PROGRAMADO!BU8/'Anexo '!$L$23</f>
        <v>332403.26669979229</v>
      </c>
      <c r="BV8" s="28">
        <f>PROGRAMADO!BV8/'Anexo '!$L$23</f>
        <v>0</v>
      </c>
      <c r="BW8" s="28">
        <f>PROGRAMADO!BW8/'Anexo '!$L$23</f>
        <v>332403.26669979229</v>
      </c>
      <c r="BX8" s="28">
        <f>PROGRAMADO!BX8/'Anexo '!$L$23</f>
        <v>0</v>
      </c>
      <c r="BY8" s="28">
        <f>PROGRAMADO!BY8/'Anexo '!$L$23</f>
        <v>0</v>
      </c>
      <c r="BZ8" s="28">
        <f>PROGRAMADO!BZ8/'Anexo '!$L$23</f>
        <v>0</v>
      </c>
      <c r="CA8" s="28">
        <f>PROGRAMADO!CA8/'Anexo '!$L$23</f>
        <v>332403.26669979229</v>
      </c>
      <c r="CB8" s="28">
        <f>PROGRAMADO!CB8/'Anexo '!$M$23</f>
        <v>0</v>
      </c>
      <c r="CC8" s="28">
        <f>PROGRAMADO!CC8/'Anexo '!$M$23</f>
        <v>289813.80323177512</v>
      </c>
      <c r="CD8" s="28">
        <f>PROGRAMADO!CD8/'Anexo '!$M$23</f>
        <v>0</v>
      </c>
      <c r="CE8" s="28">
        <f>PROGRAMADO!CE8/'Anexo '!$M$23</f>
        <v>289813.80323177512</v>
      </c>
      <c r="CF8" s="28">
        <f>PROGRAMADO!CF8/'Anexo '!$M$23</f>
        <v>0</v>
      </c>
      <c r="CG8" s="28">
        <f>PROGRAMADO!CG8/'Anexo '!$M$23</f>
        <v>0</v>
      </c>
      <c r="CH8" s="28">
        <f>PROGRAMADO!CH8/'Anexo '!$M$23</f>
        <v>0</v>
      </c>
      <c r="CI8" s="29">
        <f>PROGRAMADO!CI8/'Anexo '!$M$23</f>
        <v>289813.80323177512</v>
      </c>
    </row>
    <row r="9" spans="1:87" x14ac:dyDescent="0.25">
      <c r="A9" s="15" t="s">
        <v>3</v>
      </c>
      <c r="B9" s="27">
        <f>PROGRAMADO!B9/'Anexo '!$B$23</f>
        <v>0</v>
      </c>
      <c r="C9" s="28">
        <f>PROGRAMADO!C9/'Anexo '!$B$23</f>
        <v>421014.22326384258</v>
      </c>
      <c r="D9" s="28">
        <f>PROGRAMADO!D9/'Anexo '!$B$23</f>
        <v>421014.22326384258</v>
      </c>
      <c r="E9" s="28">
        <f>PROGRAMADO!E9/'Anexo '!$B$23</f>
        <v>0</v>
      </c>
      <c r="F9" s="28">
        <f>PROGRAMADO!F9/'Anexo '!$B$23</f>
        <v>0</v>
      </c>
      <c r="G9" s="28">
        <f>PROGRAMADO!G9/'Anexo '!$B$23</f>
        <v>0</v>
      </c>
      <c r="H9" s="28">
        <f>PROGRAMADO!H9/'Anexo '!$B$23</f>
        <v>421014.22326384258</v>
      </c>
      <c r="I9" s="28">
        <f>PROGRAMADO!I9/'Anexo '!$C$23</f>
        <v>0</v>
      </c>
      <c r="J9" s="28">
        <f>PROGRAMADO!J9/'Anexo '!$C$23</f>
        <v>373645.07361118466</v>
      </c>
      <c r="K9" s="28">
        <f>PROGRAMADO!K9/'Anexo '!$C$23</f>
        <v>373645.07361118466</v>
      </c>
      <c r="L9" s="28">
        <f>PROGRAMADO!L9/'Anexo '!$C$23</f>
        <v>0</v>
      </c>
      <c r="M9" s="28">
        <f>PROGRAMADO!M9/'Anexo '!$C$23</f>
        <v>2246246.6239474658</v>
      </c>
      <c r="N9" s="28">
        <f>PROGRAMADO!N9/'Anexo '!$C$23</f>
        <v>2246246.6239474658</v>
      </c>
      <c r="O9" s="28">
        <f>PROGRAMADO!O9/'Anexo '!$C$23</f>
        <v>2619891.6975586503</v>
      </c>
      <c r="P9" s="28">
        <f>PROGRAMADO!P9/'Anexo '!$D$23</f>
        <v>0</v>
      </c>
      <c r="Q9" s="28">
        <f>PROGRAMADO!Q9/'Anexo '!$D$23</f>
        <v>1258745.2077829996</v>
      </c>
      <c r="R9" s="28">
        <f>PROGRAMADO!R9/'Anexo '!$D$23</f>
        <v>1258745.2077829996</v>
      </c>
      <c r="S9" s="28">
        <f>PROGRAMADO!S9/'Anexo '!$D$23</f>
        <v>273159.19258594618</v>
      </c>
      <c r="T9" s="28">
        <f>PROGRAMADO!T9/'Anexo '!$D$23</f>
        <v>7705922.584126546</v>
      </c>
      <c r="U9" s="28">
        <f>PROGRAMADO!U9/'Anexo '!$D$23</f>
        <v>7979081.7767124921</v>
      </c>
      <c r="V9" s="28">
        <f>PROGRAMADO!V9/'Anexo '!$D$23</f>
        <v>9237826.9844954908</v>
      </c>
      <c r="W9" s="28">
        <f>PROGRAMADO!W9/'Anexo '!$E$23</f>
        <v>0</v>
      </c>
      <c r="X9" s="28">
        <f>PROGRAMADO!X9/'Anexo '!$E$23</f>
        <v>1139661.871836398</v>
      </c>
      <c r="Y9" s="28">
        <f>PROGRAMADO!Y9/'Anexo '!$E$23</f>
        <v>1139661.871836398</v>
      </c>
      <c r="Z9" s="28">
        <f>PROGRAMADO!Z9/'Anexo '!$E$23</f>
        <v>0</v>
      </c>
      <c r="AA9" s="28">
        <f>PROGRAMADO!AA9/'Anexo '!$E$23</f>
        <v>5002036.0000717137</v>
      </c>
      <c r="AB9" s="28">
        <f>PROGRAMADO!AB9/'Anexo '!$E$23</f>
        <v>5002036.0000717137</v>
      </c>
      <c r="AC9" s="28">
        <f>PROGRAMADO!AC9/'Anexo '!$E$23</f>
        <v>6141697.8719081115</v>
      </c>
      <c r="AD9" s="28">
        <f>PROGRAMADO!AD9/'Anexo '!$F$23</f>
        <v>0</v>
      </c>
      <c r="AE9" s="28">
        <f>PROGRAMADO!AE9/'Anexo '!$F$23</f>
        <v>1426202.1058622652</v>
      </c>
      <c r="AF9" s="28">
        <f>PROGRAMADO!AF9/'Anexo '!$F$23</f>
        <v>1426202.1058622652</v>
      </c>
      <c r="AG9" s="28">
        <f>PROGRAMADO!AG9/'Anexo '!$F$23</f>
        <v>1282436.7672168468</v>
      </c>
      <c r="AH9" s="28">
        <f>PROGRAMADO!AH9/'Anexo '!$F$23</f>
        <v>8467348.6624928862</v>
      </c>
      <c r="AI9" s="28">
        <f>PROGRAMADO!AI9/'Anexo '!$F$23</f>
        <v>9749785.4297097325</v>
      </c>
      <c r="AJ9" s="28">
        <f>PROGRAMADO!AJ9/'Anexo '!$F$23</f>
        <v>11175987.535571998</v>
      </c>
      <c r="AK9" s="28">
        <f>PROGRAMADO!AK9/'Anexo '!$G$23</f>
        <v>0</v>
      </c>
      <c r="AL9" s="28">
        <f>PROGRAMADO!AL9/'Anexo '!$G$23</f>
        <v>652485.45952245442</v>
      </c>
      <c r="AM9" s="28">
        <f>PROGRAMADO!AM9/'Anexo '!$G$23</f>
        <v>652485.45952245442</v>
      </c>
      <c r="AN9" s="28">
        <f>PROGRAMADO!AN9/'Anexo '!$G$23</f>
        <v>0</v>
      </c>
      <c r="AO9" s="28">
        <f>PROGRAMADO!AO9/'Anexo '!$G$23</f>
        <v>1144926.3083719544</v>
      </c>
      <c r="AP9" s="28">
        <f>PROGRAMADO!AP9/'Anexo '!$G$23</f>
        <v>1144926.3083719544</v>
      </c>
      <c r="AQ9" s="28">
        <f>PROGRAMADO!AQ9/'Anexo '!$G$23</f>
        <v>1797411.7678944089</v>
      </c>
      <c r="AR9" s="28">
        <f>PROGRAMADO!AR9/'Anexo '!$H$23</f>
        <v>0</v>
      </c>
      <c r="AS9" s="28">
        <f>PROGRAMADO!AS9/'Anexo '!$H$23</f>
        <v>594675.79328821646</v>
      </c>
      <c r="AT9" s="28">
        <f>PROGRAMADO!AT9/'Anexo '!$H$23</f>
        <v>594675.79328821646</v>
      </c>
      <c r="AU9" s="28">
        <f>PROGRAMADO!AU9/'Anexo '!$H$23</f>
        <v>107655.93462695969</v>
      </c>
      <c r="AV9" s="28">
        <f>PROGRAMADO!AV9/'Anexo '!$H$23</f>
        <v>5007252.7733469615</v>
      </c>
      <c r="AW9" s="28">
        <f>PROGRAMADO!AW9/'Anexo '!$H$23</f>
        <v>5114908.7079739207</v>
      </c>
      <c r="AX9" s="28">
        <f>PROGRAMADO!AX9/'Anexo '!$H$23</f>
        <v>5709584.5012621377</v>
      </c>
      <c r="AY9" s="28">
        <f>PROGRAMADO!AY9/'Anexo '!$I$23</f>
        <v>0</v>
      </c>
      <c r="AZ9" s="28">
        <f>PROGRAMADO!AZ9/'Anexo '!$I$23</f>
        <v>171434.11214723563</v>
      </c>
      <c r="BA9" s="28">
        <f>PROGRAMADO!BA9/'Anexo '!$I$23</f>
        <v>171434.11214723563</v>
      </c>
      <c r="BB9" s="28">
        <f>PROGRAMADO!BB9/'Anexo '!$I$23</f>
        <v>0</v>
      </c>
      <c r="BC9" s="28">
        <f>PROGRAMADO!BC9/'Anexo '!$I$23</f>
        <v>6145793.8150411202</v>
      </c>
      <c r="BD9" s="28">
        <f>PROGRAMADO!BD9/'Anexo '!$I$23</f>
        <v>6145793.8150411202</v>
      </c>
      <c r="BE9" s="28">
        <f>PROGRAMADO!BE9/'Anexo '!$I$23</f>
        <v>6317227.9271883564</v>
      </c>
      <c r="BF9" s="28">
        <f>PROGRAMADO!BF9/'Anexo '!$J$23</f>
        <v>0</v>
      </c>
      <c r="BG9" s="28">
        <f>PROGRAMADO!BG9/'Anexo '!$J$23</f>
        <v>163323.40656664979</v>
      </c>
      <c r="BH9" s="28">
        <f>PROGRAMADO!BH9/'Anexo '!$J$23</f>
        <v>163323.40656664979</v>
      </c>
      <c r="BI9" s="28">
        <f>PROGRAMADO!BI9/'Anexo '!$J$23</f>
        <v>0</v>
      </c>
      <c r="BJ9" s="28">
        <f>PROGRAMADO!BJ9/'Anexo '!$J$23</f>
        <v>4826273.7165439865</v>
      </c>
      <c r="BK9" s="28">
        <f>PROGRAMADO!BK9/'Anexo '!$J$23</f>
        <v>4826273.7165439865</v>
      </c>
      <c r="BL9" s="28">
        <f>PROGRAMADO!BL9/'Anexo '!$J$23</f>
        <v>4989597.1231106361</v>
      </c>
      <c r="BM9" s="28">
        <f>PROGRAMADO!BM9/'Anexo '!$K$23</f>
        <v>0</v>
      </c>
      <c r="BN9" s="28">
        <f>PROGRAMADO!BN9/'Anexo '!$K$23</f>
        <v>3799449.704115625</v>
      </c>
      <c r="BO9" s="28">
        <f>PROGRAMADO!BO9/'Anexo '!$K$23</f>
        <v>3799449.704115625</v>
      </c>
      <c r="BP9" s="28">
        <f>PROGRAMADO!BP9/'Anexo '!$K$23</f>
        <v>0</v>
      </c>
      <c r="BQ9" s="28">
        <f>PROGRAMADO!BQ9/'Anexo '!$K$23</f>
        <v>1272314.542705904</v>
      </c>
      <c r="BR9" s="28">
        <f>PROGRAMADO!BR9/'Anexo '!$K$23</f>
        <v>1272314.542705904</v>
      </c>
      <c r="BS9" s="28">
        <f>PROGRAMADO!BS9/'Anexo '!$K$23</f>
        <v>5071764.2468215283</v>
      </c>
      <c r="BT9" s="28">
        <f>PROGRAMADO!BT9/'Anexo '!$L$23</f>
        <v>0</v>
      </c>
      <c r="BU9" s="28">
        <f>PROGRAMADO!BU9/'Anexo '!$L$23</f>
        <v>4194642.9860659875</v>
      </c>
      <c r="BV9" s="28">
        <f>PROGRAMADO!BV9/'Anexo '!$L$23</f>
        <v>0</v>
      </c>
      <c r="BW9" s="28">
        <f>PROGRAMADO!BW9/'Anexo '!$L$23</f>
        <v>4194642.9860659875</v>
      </c>
      <c r="BX9" s="28">
        <f>PROGRAMADO!BX9/'Anexo '!$L$23</f>
        <v>0</v>
      </c>
      <c r="BY9" s="28">
        <f>PROGRAMADO!BY9/'Anexo '!$L$23</f>
        <v>4061123.9791563149</v>
      </c>
      <c r="BZ9" s="28">
        <f>PROGRAMADO!BZ9/'Anexo '!$L$23</f>
        <v>4061123.9791563149</v>
      </c>
      <c r="CA9" s="28">
        <f>PROGRAMADO!CA9/'Anexo '!$L$23</f>
        <v>8255766.9652223028</v>
      </c>
      <c r="CB9" s="28">
        <f>PROGRAMADO!CB9/'Anexo '!$M$23</f>
        <v>0</v>
      </c>
      <c r="CC9" s="28">
        <f>PROGRAMADO!CC9/'Anexo '!$M$23</f>
        <v>2022427.0986167141</v>
      </c>
      <c r="CD9" s="28">
        <f>PROGRAMADO!CD9/'Anexo '!$M$23</f>
        <v>0</v>
      </c>
      <c r="CE9" s="28">
        <f>PROGRAMADO!CE9/'Anexo '!$M$23</f>
        <v>2022427.0986167141</v>
      </c>
      <c r="CF9" s="28">
        <f>PROGRAMADO!CF9/'Anexo '!$M$23</f>
        <v>0</v>
      </c>
      <c r="CG9" s="28">
        <f>PROGRAMADO!CG9/'Anexo '!$M$23</f>
        <v>5129021.7480566362</v>
      </c>
      <c r="CH9" s="28">
        <f>PROGRAMADO!CH9/'Anexo '!$M$23</f>
        <v>5129021.7480566362</v>
      </c>
      <c r="CI9" s="29">
        <f>PROGRAMADO!CI9/'Anexo '!$M$23</f>
        <v>7151448.8466733508</v>
      </c>
    </row>
    <row r="10" spans="1:87" x14ac:dyDescent="0.25">
      <c r="A10" s="15" t="s">
        <v>4</v>
      </c>
      <c r="B10" s="27">
        <f>PROGRAMADO!B10/'Anexo '!$B$23</f>
        <v>0</v>
      </c>
      <c r="C10" s="28">
        <f>PROGRAMADO!C10/'Anexo '!$B$23</f>
        <v>2479039.5963876978</v>
      </c>
      <c r="D10" s="28">
        <f>PROGRAMADO!D10/'Anexo '!$B$23</f>
        <v>2479039.5963876978</v>
      </c>
      <c r="E10" s="28">
        <f>PROGRAMADO!E10/'Anexo '!$B$23</f>
        <v>9837908.050493639</v>
      </c>
      <c r="F10" s="28">
        <f>PROGRAMADO!F10/'Anexo '!$B$23</f>
        <v>2786462.217481914</v>
      </c>
      <c r="G10" s="28">
        <f>PROGRAMADO!G10/'Anexo '!$B$23</f>
        <v>12624370.267975552</v>
      </c>
      <c r="H10" s="28">
        <f>PROGRAMADO!H10/'Anexo '!$B$23</f>
        <v>15103409.864363251</v>
      </c>
      <c r="I10" s="28">
        <f>PROGRAMADO!I10/'Anexo '!$C$23</f>
        <v>0</v>
      </c>
      <c r="J10" s="28">
        <f>PROGRAMADO!J10/'Anexo '!$C$23</f>
        <v>4897381.242387332</v>
      </c>
      <c r="K10" s="28">
        <f>PROGRAMADO!K10/'Anexo '!$C$23</f>
        <v>4897381.242387332</v>
      </c>
      <c r="L10" s="28">
        <f>PROGRAMADO!L10/'Anexo '!$C$23</f>
        <v>13895089.462082295</v>
      </c>
      <c r="M10" s="28">
        <f>PROGRAMADO!M10/'Anexo '!$C$23</f>
        <v>10236270.719694963</v>
      </c>
      <c r="N10" s="28">
        <f>PROGRAMADO!N10/'Anexo '!$C$23</f>
        <v>24131360.181777257</v>
      </c>
      <c r="O10" s="28">
        <f>PROGRAMADO!O10/'Anexo '!$C$23</f>
        <v>29028741.424164589</v>
      </c>
      <c r="P10" s="28">
        <f>PROGRAMADO!P10/'Anexo '!$D$23</f>
        <v>0</v>
      </c>
      <c r="Q10" s="28">
        <f>PROGRAMADO!Q10/'Anexo '!$D$23</f>
        <v>4944207.1116186557</v>
      </c>
      <c r="R10" s="28">
        <f>PROGRAMADO!R10/'Anexo '!$D$23</f>
        <v>4944207.1116186557</v>
      </c>
      <c r="S10" s="28">
        <f>PROGRAMADO!S10/'Anexo '!$D$23</f>
        <v>15402038.237342585</v>
      </c>
      <c r="T10" s="28">
        <f>PROGRAMADO!T10/'Anexo '!$D$23</f>
        <v>12504056.897968916</v>
      </c>
      <c r="U10" s="28">
        <f>PROGRAMADO!U10/'Anexo '!$D$23</f>
        <v>27906095.135311503</v>
      </c>
      <c r="V10" s="28">
        <f>PROGRAMADO!V10/'Anexo '!$D$23</f>
        <v>32850302.246930156</v>
      </c>
      <c r="W10" s="28">
        <f>PROGRAMADO!W10/'Anexo '!$E$23</f>
        <v>0</v>
      </c>
      <c r="X10" s="28">
        <f>PROGRAMADO!X10/'Anexo '!$E$23</f>
        <v>5504372.1202631881</v>
      </c>
      <c r="Y10" s="28">
        <f>PROGRAMADO!Y10/'Anexo '!$E$23</f>
        <v>5504372.1202631881</v>
      </c>
      <c r="Z10" s="28">
        <f>PROGRAMADO!Z10/'Anexo '!$E$23</f>
        <v>18061936.378359318</v>
      </c>
      <c r="AA10" s="28">
        <f>PROGRAMADO!AA10/'Anexo '!$E$23</f>
        <v>7798509.6185450573</v>
      </c>
      <c r="AB10" s="28">
        <f>PROGRAMADO!AB10/'Anexo '!$E$23</f>
        <v>25860445.996904377</v>
      </c>
      <c r="AC10" s="28">
        <f>PROGRAMADO!AC10/'Anexo '!$E$23</f>
        <v>31364818.117167566</v>
      </c>
      <c r="AD10" s="28">
        <f>PROGRAMADO!AD10/'Anexo '!$F$23</f>
        <v>0</v>
      </c>
      <c r="AE10" s="28">
        <f>PROGRAMADO!AE10/'Anexo '!$F$23</f>
        <v>10597609.561752988</v>
      </c>
      <c r="AF10" s="28">
        <f>PROGRAMADO!AF10/'Anexo '!$F$23</f>
        <v>10597609.561752988</v>
      </c>
      <c r="AG10" s="28">
        <f>PROGRAMADO!AG10/'Anexo '!$F$23</f>
        <v>20493942.914058052</v>
      </c>
      <c r="AH10" s="28">
        <f>PROGRAMADO!AH10/'Anexo '!$F$23</f>
        <v>8574691.7472965289</v>
      </c>
      <c r="AI10" s="28">
        <f>PROGRAMADO!AI10/'Anexo '!$F$23</f>
        <v>29068634.661354583</v>
      </c>
      <c r="AJ10" s="28">
        <f>PROGRAMADO!AJ10/'Anexo '!$F$23</f>
        <v>39666244.223107569</v>
      </c>
      <c r="AK10" s="28">
        <f>PROGRAMADO!AK10/'Anexo '!$G$23</f>
        <v>0</v>
      </c>
      <c r="AL10" s="28">
        <f>PROGRAMADO!AL10/'Anexo '!$G$23</f>
        <v>7188863.4306312175</v>
      </c>
      <c r="AM10" s="28">
        <f>PROGRAMADO!AM10/'Anexo '!$G$23</f>
        <v>7188863.4306312175</v>
      </c>
      <c r="AN10" s="28">
        <f>PROGRAMADO!AN10/'Anexo '!$G$23</f>
        <v>25493526.140336614</v>
      </c>
      <c r="AO10" s="28">
        <f>PROGRAMADO!AO10/'Anexo '!$G$23</f>
        <v>9828956.0126839578</v>
      </c>
      <c r="AP10" s="28">
        <f>PROGRAMADO!AP10/'Anexo '!$G$23</f>
        <v>35322482.153020576</v>
      </c>
      <c r="AQ10" s="28">
        <f>PROGRAMADO!AQ10/'Anexo '!$G$23</f>
        <v>42511345.583651789</v>
      </c>
      <c r="AR10" s="28">
        <f>PROGRAMADO!AR10/'Anexo '!$H$23</f>
        <v>0</v>
      </c>
      <c r="AS10" s="28">
        <f>PROGRAMADO!AS10/'Anexo '!$H$23</f>
        <v>5242915.4600219904</v>
      </c>
      <c r="AT10" s="28">
        <f>PROGRAMADO!AT10/'Anexo '!$H$23</f>
        <v>5242915.4600219904</v>
      </c>
      <c r="AU10" s="28">
        <f>PROGRAMADO!AU10/'Anexo '!$H$23</f>
        <v>17100286.032862034</v>
      </c>
      <c r="AV10" s="28">
        <f>PROGRAMADO!AV10/'Anexo '!$H$23</f>
        <v>4828291.0297905728</v>
      </c>
      <c r="AW10" s="28">
        <f>PROGRAMADO!AW10/'Anexo '!$H$23</f>
        <v>21928577.062652607</v>
      </c>
      <c r="AX10" s="28">
        <f>PROGRAMADO!AX10/'Anexo '!$H$23</f>
        <v>27171492.522674594</v>
      </c>
      <c r="AY10" s="28">
        <f>PROGRAMADO!AY10/'Anexo '!$I$23</f>
        <v>0</v>
      </c>
      <c r="AZ10" s="28">
        <f>PROGRAMADO!AZ10/'Anexo '!$I$23</f>
        <v>9040008.6025099661</v>
      </c>
      <c r="BA10" s="28">
        <f>PROGRAMADO!BA10/'Anexo '!$I$23</f>
        <v>9040008.6025099661</v>
      </c>
      <c r="BB10" s="28">
        <f>PROGRAMADO!BB10/'Anexo '!$I$23</f>
        <v>4679961.9523273474</v>
      </c>
      <c r="BC10" s="28">
        <f>PROGRAMADO!BC10/'Anexo '!$I$23</f>
        <v>9782370.9500612002</v>
      </c>
      <c r="BD10" s="28">
        <f>PROGRAMADO!BD10/'Anexo '!$I$23</f>
        <v>14462332.902388548</v>
      </c>
      <c r="BE10" s="28">
        <f>PROGRAMADO!BE10/'Anexo '!$I$23</f>
        <v>23502341.504898515</v>
      </c>
      <c r="BF10" s="28">
        <f>PROGRAMADO!BF10/'Anexo '!$J$23</f>
        <v>0</v>
      </c>
      <c r="BG10" s="28">
        <f>PROGRAMADO!BG10/'Anexo '!$J$23</f>
        <v>5439820.8967803558</v>
      </c>
      <c r="BH10" s="28">
        <f>PROGRAMADO!BH10/'Anexo '!$J$23</f>
        <v>5439820.8967803558</v>
      </c>
      <c r="BI10" s="28">
        <f>PROGRAMADO!BI10/'Anexo '!$J$23</f>
        <v>556828.49169335654</v>
      </c>
      <c r="BJ10" s="28">
        <f>PROGRAMADO!BJ10/'Anexo '!$J$23</f>
        <v>5833148.798486636</v>
      </c>
      <c r="BK10" s="28">
        <f>PROGRAMADO!BK10/'Anexo '!$J$23</f>
        <v>6389977.290179993</v>
      </c>
      <c r="BL10" s="28">
        <f>PROGRAMADO!BL10/'Anexo '!$J$23</f>
        <v>11829798.186960349</v>
      </c>
      <c r="BM10" s="28">
        <f>PROGRAMADO!BM10/'Anexo '!$K$23</f>
        <v>0</v>
      </c>
      <c r="BN10" s="28">
        <f>PROGRAMADO!BN10/'Anexo '!$K$23</f>
        <v>7134168.558215864</v>
      </c>
      <c r="BO10" s="28">
        <f>PROGRAMADO!BO10/'Anexo '!$K$23</f>
        <v>7134168.558215864</v>
      </c>
      <c r="BP10" s="28">
        <f>PROGRAMADO!BP10/'Anexo '!$K$23</f>
        <v>1224442.9480518901</v>
      </c>
      <c r="BQ10" s="28">
        <f>PROGRAMADO!BQ10/'Anexo '!$K$23</f>
        <v>73985.810036433701</v>
      </c>
      <c r="BR10" s="28">
        <f>PROGRAMADO!BR10/'Anexo '!$K$23</f>
        <v>1298428.758088324</v>
      </c>
      <c r="BS10" s="28">
        <f>PROGRAMADO!BS10/'Anexo '!$K$23</f>
        <v>8432597.3163041882</v>
      </c>
      <c r="BT10" s="28">
        <f>PROGRAMADO!BT10/'Anexo '!$L$23</f>
        <v>0</v>
      </c>
      <c r="BU10" s="28">
        <f>PROGRAMADO!BU10/'Anexo '!$L$23</f>
        <v>9776291.6671975255</v>
      </c>
      <c r="BV10" s="28">
        <f>PROGRAMADO!BV10/'Anexo '!$L$23</f>
        <v>0</v>
      </c>
      <c r="BW10" s="28">
        <f>PROGRAMADO!BW10/'Anexo '!$L$23</f>
        <v>9776291.6671975255</v>
      </c>
      <c r="BX10" s="28">
        <f>PROGRAMADO!BX10/'Anexo '!$L$23</f>
        <v>2671779.4850233789</v>
      </c>
      <c r="BY10" s="28">
        <f>PROGRAMADO!BY10/'Anexo '!$L$23</f>
        <v>2850008.8335095788</v>
      </c>
      <c r="BZ10" s="28">
        <f>PROGRAMADO!BZ10/'Anexo '!$L$23</f>
        <v>5521788.3185329577</v>
      </c>
      <c r="CA10" s="28">
        <f>PROGRAMADO!CA10/'Anexo '!$L$23</f>
        <v>15298079.985730484</v>
      </c>
      <c r="CB10" s="28">
        <f>PROGRAMADO!CB10/'Anexo '!$M$23</f>
        <v>0</v>
      </c>
      <c r="CC10" s="28">
        <f>PROGRAMADO!CC10/'Anexo '!$M$23</f>
        <v>12878650.208108943</v>
      </c>
      <c r="CD10" s="28">
        <f>PROGRAMADO!CD10/'Anexo '!$M$23</f>
        <v>0</v>
      </c>
      <c r="CE10" s="28">
        <f>PROGRAMADO!CE10/'Anexo '!$M$23</f>
        <v>12878650.208108943</v>
      </c>
      <c r="CF10" s="28">
        <f>PROGRAMADO!CF10/'Anexo '!$M$23</f>
        <v>2439799.0193270231</v>
      </c>
      <c r="CG10" s="28">
        <f>PROGRAMADO!CG10/'Anexo '!$M$23</f>
        <v>7887775.2777454415</v>
      </c>
      <c r="CH10" s="28">
        <f>PROGRAMADO!CH10/'Anexo '!$M$23</f>
        <v>10327574.297072465</v>
      </c>
      <c r="CI10" s="29">
        <f>PROGRAMADO!CI10/'Anexo '!$M$23</f>
        <v>23206224.505181406</v>
      </c>
    </row>
    <row r="11" spans="1:87" x14ac:dyDescent="0.25">
      <c r="A11" s="15" t="s">
        <v>66</v>
      </c>
      <c r="B11" s="27">
        <f>PROGRAMADO!B11/'Anexo '!$B$23</f>
        <v>0</v>
      </c>
      <c r="C11" s="28">
        <f>PROGRAMADO!C11/'Anexo '!$B$23</f>
        <v>0</v>
      </c>
      <c r="D11" s="28">
        <f>PROGRAMADO!D11/'Anexo '!$B$23</f>
        <v>0</v>
      </c>
      <c r="E11" s="28">
        <f>PROGRAMADO!E11/'Anexo '!$B$23</f>
        <v>0</v>
      </c>
      <c r="F11" s="28">
        <f>PROGRAMADO!F11/'Anexo '!$B$23</f>
        <v>0</v>
      </c>
      <c r="G11" s="28">
        <f>PROGRAMADO!G11/'Anexo '!$B$23</f>
        <v>0</v>
      </c>
      <c r="H11" s="28">
        <f>PROGRAMADO!H11/'Anexo '!$B$23</f>
        <v>0</v>
      </c>
      <c r="I11" s="28">
        <f>PROGRAMADO!I11/'Anexo '!$C$23</f>
        <v>0</v>
      </c>
      <c r="J11" s="28">
        <f>PROGRAMADO!J11/'Anexo '!$C$23</f>
        <v>0</v>
      </c>
      <c r="K11" s="28">
        <f>PROGRAMADO!K11/'Anexo '!$C$23</f>
        <v>0</v>
      </c>
      <c r="L11" s="28">
        <f>PROGRAMADO!L11/'Anexo '!$C$23</f>
        <v>0</v>
      </c>
      <c r="M11" s="28">
        <f>PROGRAMADO!M11/'Anexo '!$C$23</f>
        <v>0</v>
      </c>
      <c r="N11" s="28">
        <f>PROGRAMADO!N11/'Anexo '!$C$23</f>
        <v>0</v>
      </c>
      <c r="O11" s="28">
        <f>PROGRAMADO!O11/'Anexo '!$C$23</f>
        <v>0</v>
      </c>
      <c r="P11" s="28">
        <f>PROGRAMADO!P11/'Anexo '!$D$23</f>
        <v>0</v>
      </c>
      <c r="Q11" s="28">
        <f>PROGRAMADO!Q11/'Anexo '!$D$23</f>
        <v>949656.34078545298</v>
      </c>
      <c r="R11" s="28">
        <f>PROGRAMADO!R11/'Anexo '!$D$23</f>
        <v>949656.34078545298</v>
      </c>
      <c r="S11" s="28">
        <f>PROGRAMADO!S11/'Anexo '!$D$23</f>
        <v>0</v>
      </c>
      <c r="T11" s="28">
        <f>PROGRAMADO!T11/'Anexo '!$D$23</f>
        <v>501967.08350849891</v>
      </c>
      <c r="U11" s="28">
        <f>PROGRAMADO!U11/'Anexo '!$D$23</f>
        <v>501967.08350849891</v>
      </c>
      <c r="V11" s="28">
        <f>PROGRAMADO!V11/'Anexo '!$D$23</f>
        <v>1451623.4242939518</v>
      </c>
      <c r="W11" s="28">
        <f>PROGRAMADO!W11/'Anexo '!$E$23</f>
        <v>0</v>
      </c>
      <c r="X11" s="28">
        <f>PROGRAMADO!X11/'Anexo '!$E$23</f>
        <v>1253563.8517208202</v>
      </c>
      <c r="Y11" s="28">
        <f>PROGRAMADO!Y11/'Anexo '!$E$23</f>
        <v>1253563.8517208202</v>
      </c>
      <c r="Z11" s="28">
        <f>PROGRAMADO!Z11/'Anexo '!$E$23</f>
        <v>1475698.1587612724</v>
      </c>
      <c r="AA11" s="28">
        <f>PROGRAMADO!AA11/'Anexo '!$E$23</f>
        <v>102089.24718973544</v>
      </c>
      <c r="AB11" s="28">
        <f>PROGRAMADO!AB11/'Anexo '!$E$23</f>
        <v>1577787.405951008</v>
      </c>
      <c r="AC11" s="28">
        <f>PROGRAMADO!AC11/'Anexo '!$E$23</f>
        <v>2831351.2576718279</v>
      </c>
      <c r="AD11" s="28">
        <f>PROGRAMADO!AD11/'Anexo '!$F$23</f>
        <v>0</v>
      </c>
      <c r="AE11" s="28">
        <f>PROGRAMADO!AE11/'Anexo '!$F$23</f>
        <v>1648015.0256118383</v>
      </c>
      <c r="AF11" s="28">
        <f>PROGRAMADO!AF11/'Anexo '!$F$23</f>
        <v>1648015.0256118383</v>
      </c>
      <c r="AG11" s="28">
        <f>PROGRAMADO!AG11/'Anexo '!$F$23</f>
        <v>1205634.6044393852</v>
      </c>
      <c r="AH11" s="28">
        <f>PROGRAMADO!AH11/'Anexo '!$F$23</f>
        <v>0</v>
      </c>
      <c r="AI11" s="28">
        <f>PROGRAMADO!AI11/'Anexo '!$F$23</f>
        <v>1205634.6044393852</v>
      </c>
      <c r="AJ11" s="28">
        <f>PROGRAMADO!AJ11/'Anexo '!$F$23</f>
        <v>2853649.6300512236</v>
      </c>
      <c r="AK11" s="28">
        <f>PROGRAMADO!AK11/'Anexo '!$G$23</f>
        <v>0</v>
      </c>
      <c r="AL11" s="28">
        <f>PROGRAMADO!AL11/'Anexo '!$G$23</f>
        <v>1409534.6505135919</v>
      </c>
      <c r="AM11" s="28">
        <f>PROGRAMADO!AM11/'Anexo '!$G$23</f>
        <v>1409534.6505135919</v>
      </c>
      <c r="AN11" s="28">
        <f>PROGRAMADO!AN11/'Anexo '!$G$23</f>
        <v>1037265.902376887</v>
      </c>
      <c r="AO11" s="28">
        <f>PROGRAMADO!AO11/'Anexo '!$G$23</f>
        <v>0</v>
      </c>
      <c r="AP11" s="28">
        <f>PROGRAMADO!AP11/'Anexo '!$G$23</f>
        <v>1037265.902376887</v>
      </c>
      <c r="AQ11" s="28">
        <f>PROGRAMADO!AQ11/'Anexo '!$G$23</f>
        <v>2446800.5528904791</v>
      </c>
      <c r="AR11" s="28">
        <f>PROGRAMADO!AR11/'Anexo '!$H$23</f>
        <v>0</v>
      </c>
      <c r="AS11" s="28">
        <f>PROGRAMADO!AS11/'Anexo '!$H$23</f>
        <v>1294916.8641176138</v>
      </c>
      <c r="AT11" s="28">
        <f>PROGRAMADO!AT11/'Anexo '!$H$23</f>
        <v>1294916.8641176138</v>
      </c>
      <c r="AU11" s="28">
        <f>PROGRAMADO!AU11/'Anexo '!$H$23</f>
        <v>0</v>
      </c>
      <c r="AV11" s="28">
        <f>PROGRAMADO!AV11/'Anexo '!$H$23</f>
        <v>2580484.6194745996</v>
      </c>
      <c r="AW11" s="28">
        <f>PROGRAMADO!AW11/'Anexo '!$H$23</f>
        <v>2580484.6194745996</v>
      </c>
      <c r="AX11" s="28">
        <f>PROGRAMADO!AX11/'Anexo '!$H$23</f>
        <v>3875401.4835922136</v>
      </c>
      <c r="AY11" s="28">
        <f>PROGRAMADO!AY11/'Anexo '!$I$23</f>
        <v>0</v>
      </c>
      <c r="AZ11" s="28">
        <f>PROGRAMADO!AZ11/'Anexo '!$I$23</f>
        <v>1923176.9806664733</v>
      </c>
      <c r="BA11" s="28">
        <f>PROGRAMADO!BA11/'Anexo '!$I$23</f>
        <v>1923176.9806664733</v>
      </c>
      <c r="BB11" s="28">
        <f>PROGRAMADO!BB11/'Anexo '!$I$23</f>
        <v>0</v>
      </c>
      <c r="BC11" s="28">
        <f>PROGRAMADO!BC11/'Anexo '!$I$23</f>
        <v>5852066.3228939828</v>
      </c>
      <c r="BD11" s="28">
        <f>PROGRAMADO!BD11/'Anexo '!$I$23</f>
        <v>5852066.3228939828</v>
      </c>
      <c r="BE11" s="28">
        <f>PROGRAMADO!BE11/'Anexo '!$I$23</f>
        <v>7775243.3035604563</v>
      </c>
      <c r="BF11" s="28">
        <f>PROGRAMADO!BF11/'Anexo '!$J$23</f>
        <v>0</v>
      </c>
      <c r="BG11" s="28">
        <f>PROGRAMADO!BG11/'Anexo '!$J$23</f>
        <v>0</v>
      </c>
      <c r="BH11" s="28">
        <f>PROGRAMADO!BH11/'Anexo '!$J$23</f>
        <v>0</v>
      </c>
      <c r="BI11" s="28">
        <f>PROGRAMADO!BI11/'Anexo '!$J$23</f>
        <v>0</v>
      </c>
      <c r="BJ11" s="28">
        <f>PROGRAMADO!BJ11/'Anexo '!$J$23</f>
        <v>0</v>
      </c>
      <c r="BK11" s="28">
        <f>PROGRAMADO!BK11/'Anexo '!$J$23</f>
        <v>0</v>
      </c>
      <c r="BL11" s="28">
        <f>PROGRAMADO!BL11/'Anexo '!$J$23</f>
        <v>0</v>
      </c>
      <c r="BM11" s="28">
        <f>PROGRAMADO!BM11/'Anexo '!$K$23</f>
        <v>0</v>
      </c>
      <c r="BN11" s="28">
        <f>PROGRAMADO!BN11/'Anexo '!$K$23</f>
        <v>0</v>
      </c>
      <c r="BO11" s="28">
        <f>PROGRAMADO!BO11/'Anexo '!$K$23</f>
        <v>0</v>
      </c>
      <c r="BP11" s="28">
        <f>PROGRAMADO!BP11/'Anexo '!$K$23</f>
        <v>0</v>
      </c>
      <c r="BQ11" s="28">
        <f>PROGRAMADO!BQ11/'Anexo '!$K$23</f>
        <v>0</v>
      </c>
      <c r="BR11" s="28">
        <f>PROGRAMADO!BR11/'Anexo '!$K$23</f>
        <v>0</v>
      </c>
      <c r="BS11" s="28">
        <f>PROGRAMADO!BS11/'Anexo '!$K$23</f>
        <v>0</v>
      </c>
      <c r="BT11" s="28">
        <f>PROGRAMADO!BT11/'Anexo '!$L$23</f>
        <v>0</v>
      </c>
      <c r="BU11" s="28">
        <f>PROGRAMADO!BU11/'Anexo '!$L$23</f>
        <v>0</v>
      </c>
      <c r="BV11" s="28">
        <f>PROGRAMADO!BV11/'Anexo '!$L$23</f>
        <v>0</v>
      </c>
      <c r="BW11" s="28">
        <f>PROGRAMADO!BW11/'Anexo '!$L$23</f>
        <v>0</v>
      </c>
      <c r="BX11" s="28">
        <f>PROGRAMADO!BX11/'Anexo '!$L$23</f>
        <v>0</v>
      </c>
      <c r="BY11" s="28">
        <f>PROGRAMADO!BY11/'Anexo '!$L$23</f>
        <v>0</v>
      </c>
      <c r="BZ11" s="28">
        <f>PROGRAMADO!BZ11/'Anexo '!$L$23</f>
        <v>0</v>
      </c>
      <c r="CA11" s="28">
        <f>PROGRAMADO!CA11/'Anexo '!$L$23</f>
        <v>0</v>
      </c>
      <c r="CB11" s="28">
        <f>PROGRAMADO!CB11/'Anexo '!$M$23</f>
        <v>0</v>
      </c>
      <c r="CC11" s="28">
        <f>PROGRAMADO!CC11/'Anexo '!$M$23</f>
        <v>0</v>
      </c>
      <c r="CD11" s="28">
        <f>PROGRAMADO!CD11/'Anexo '!$M$23</f>
        <v>0</v>
      </c>
      <c r="CE11" s="28">
        <f>PROGRAMADO!CE11/'Anexo '!$M$23</f>
        <v>0</v>
      </c>
      <c r="CF11" s="28">
        <f>PROGRAMADO!CF11/'Anexo '!$M$23</f>
        <v>0</v>
      </c>
      <c r="CG11" s="28">
        <f>PROGRAMADO!CG11/'Anexo '!$M$23</f>
        <v>0</v>
      </c>
      <c r="CH11" s="28">
        <f>PROGRAMADO!CH11/'Anexo '!$M$23</f>
        <v>0</v>
      </c>
      <c r="CI11" s="29">
        <f>PROGRAMADO!CI11/'Anexo '!$M$23</f>
        <v>0</v>
      </c>
    </row>
    <row r="12" spans="1:87" x14ac:dyDescent="0.25">
      <c r="A12" s="15" t="s">
        <v>5</v>
      </c>
      <c r="B12" s="27">
        <f>PROGRAMADO!B12/'Anexo '!$B$23</f>
        <v>0</v>
      </c>
      <c r="C12" s="28">
        <f>PROGRAMADO!C12/'Anexo '!$B$23</f>
        <v>918455.15847677051</v>
      </c>
      <c r="D12" s="28">
        <f>PROGRAMADO!D12/'Anexo '!$B$23</f>
        <v>918455.15847677051</v>
      </c>
      <c r="E12" s="28">
        <f>PROGRAMADO!E12/'Anexo '!$B$23</f>
        <v>2833120.4732199865</v>
      </c>
      <c r="F12" s="28">
        <f>PROGRAMADO!F12/'Anexo '!$B$23</f>
        <v>2234323.1845515845</v>
      </c>
      <c r="G12" s="28">
        <f>PROGRAMADO!G12/'Anexo '!$B$23</f>
        <v>5067443.6577715715</v>
      </c>
      <c r="H12" s="28">
        <f>PROGRAMADO!H12/'Anexo '!$B$23</f>
        <v>5985898.8162483415</v>
      </c>
      <c r="I12" s="28">
        <f>PROGRAMADO!I12/'Anexo '!$C$23</f>
        <v>0</v>
      </c>
      <c r="J12" s="28">
        <f>PROGRAMADO!J12/'Anexo '!$C$23</f>
        <v>1403180.9233172694</v>
      </c>
      <c r="K12" s="28">
        <f>PROGRAMADO!K12/'Anexo '!$C$23</f>
        <v>1403180.9233172694</v>
      </c>
      <c r="L12" s="28">
        <f>PROGRAMADO!L12/'Anexo '!$C$23</f>
        <v>1822194.401048562</v>
      </c>
      <c r="M12" s="28">
        <f>PROGRAMADO!M12/'Anexo '!$C$23</f>
        <v>3270887.5973097491</v>
      </c>
      <c r="N12" s="28">
        <f>PROGRAMADO!N12/'Anexo '!$C$23</f>
        <v>5093081.9983583121</v>
      </c>
      <c r="O12" s="28">
        <f>PROGRAMADO!O12/'Anexo '!$C$23</f>
        <v>6496262.9216755815</v>
      </c>
      <c r="P12" s="28">
        <f>PROGRAMADO!P12/'Anexo '!$D$23</f>
        <v>0</v>
      </c>
      <c r="Q12" s="28">
        <f>PROGRAMADO!Q12/'Anexo '!$D$23</f>
        <v>1230363.8006437728</v>
      </c>
      <c r="R12" s="28">
        <f>PROGRAMADO!R12/'Anexo '!$D$23</f>
        <v>1230363.8006437728</v>
      </c>
      <c r="S12" s="28">
        <f>PROGRAMADO!S12/'Anexo '!$D$23</f>
        <v>8182075.3201608807</v>
      </c>
      <c r="T12" s="28">
        <f>PROGRAMADO!T12/'Anexo '!$D$23</f>
        <v>4341199.5758378142</v>
      </c>
      <c r="U12" s="28">
        <f>PROGRAMADO!U12/'Anexo '!$D$23</f>
        <v>12523274.895998694</v>
      </c>
      <c r="V12" s="28">
        <f>PROGRAMADO!V12/'Anexo '!$D$23</f>
        <v>13753638.696642468</v>
      </c>
      <c r="W12" s="28">
        <f>PROGRAMADO!W12/'Anexo '!$E$23</f>
        <v>0</v>
      </c>
      <c r="X12" s="28">
        <f>PROGRAMADO!X12/'Anexo '!$E$23</f>
        <v>1023666.9993366521</v>
      </c>
      <c r="Y12" s="28">
        <f>PROGRAMADO!Y12/'Anexo '!$E$23</f>
        <v>1023666.9993366521</v>
      </c>
      <c r="Z12" s="28">
        <f>PROGRAMADO!Z12/'Anexo '!$E$23</f>
        <v>2609255.4367638184</v>
      </c>
      <c r="AA12" s="28">
        <f>PROGRAMADO!AA12/'Anexo '!$E$23</f>
        <v>7346268.5782242594</v>
      </c>
      <c r="AB12" s="28">
        <f>PROGRAMADO!AB12/'Anexo '!$E$23</f>
        <v>9955524.0149880778</v>
      </c>
      <c r="AC12" s="28">
        <f>PROGRAMADO!AC12/'Anexo '!$E$23</f>
        <v>10979191.01432473</v>
      </c>
      <c r="AD12" s="28">
        <f>PROGRAMADO!AD12/'Anexo '!$F$23</f>
        <v>0</v>
      </c>
      <c r="AE12" s="28">
        <f>PROGRAMADO!AE12/'Anexo '!$F$23</f>
        <v>2009391.0073989755</v>
      </c>
      <c r="AF12" s="28">
        <f>PROGRAMADO!AF12/'Anexo '!$F$23</f>
        <v>2009391.0073989755</v>
      </c>
      <c r="AG12" s="28">
        <f>PROGRAMADO!AG12/'Anexo '!$F$23</f>
        <v>6086558.4519066587</v>
      </c>
      <c r="AH12" s="28">
        <f>PROGRAMADO!AH12/'Anexo '!$F$23</f>
        <v>5871080.0796812745</v>
      </c>
      <c r="AI12" s="28">
        <f>PROGRAMADO!AI12/'Anexo '!$F$23</f>
        <v>11957638.531587934</v>
      </c>
      <c r="AJ12" s="28">
        <f>PROGRAMADO!AJ12/'Anexo '!$F$23</f>
        <v>13967029.53898691</v>
      </c>
      <c r="AK12" s="28">
        <f>PROGRAMADO!AK12/'Anexo '!$G$23</f>
        <v>0</v>
      </c>
      <c r="AL12" s="28">
        <f>PROGRAMADO!AL12/'Anexo '!$G$23</f>
        <v>974160.82608342147</v>
      </c>
      <c r="AM12" s="28">
        <f>PROGRAMADO!AM12/'Anexo '!$G$23</f>
        <v>974160.82608342147</v>
      </c>
      <c r="AN12" s="28">
        <f>PROGRAMADO!AN12/'Anexo '!$G$23</f>
        <v>5625003.4962192047</v>
      </c>
      <c r="AO12" s="28">
        <f>PROGRAMADO!AO12/'Anexo '!$G$23</f>
        <v>3821448.8982844134</v>
      </c>
      <c r="AP12" s="28">
        <f>PROGRAMADO!AP12/'Anexo '!$G$23</f>
        <v>9446452.3945036177</v>
      </c>
      <c r="AQ12" s="28">
        <f>PROGRAMADO!AQ12/'Anexo '!$G$23</f>
        <v>10420613.220587039</v>
      </c>
      <c r="AR12" s="28">
        <f>PROGRAMADO!AR12/'Anexo '!$H$23</f>
        <v>0</v>
      </c>
      <c r="AS12" s="28">
        <f>PROGRAMADO!AS12/'Anexo '!$H$23</f>
        <v>427452.28914045607</v>
      </c>
      <c r="AT12" s="28">
        <f>PROGRAMADO!AT12/'Anexo '!$H$23</f>
        <v>427452.28914045607</v>
      </c>
      <c r="AU12" s="28">
        <f>PROGRAMADO!AU12/'Anexo '!$H$23</f>
        <v>3382991.8593426566</v>
      </c>
      <c r="AV12" s="28">
        <f>PROGRAMADO!AV12/'Anexo '!$H$23</f>
        <v>1804035.5360083419</v>
      </c>
      <c r="AW12" s="28">
        <f>PROGRAMADO!AW12/'Anexo '!$H$23</f>
        <v>5187027.3953509983</v>
      </c>
      <c r="AX12" s="28">
        <f>PROGRAMADO!AX12/'Anexo '!$H$23</f>
        <v>5614479.6844914537</v>
      </c>
      <c r="AY12" s="28">
        <f>PROGRAMADO!AY12/'Anexo '!$I$23</f>
        <v>0</v>
      </c>
      <c r="AZ12" s="28">
        <f>PROGRAMADO!AZ12/'Anexo '!$I$23</f>
        <v>0</v>
      </c>
      <c r="BA12" s="28">
        <f>PROGRAMADO!BA12/'Anexo '!$I$23</f>
        <v>0</v>
      </c>
      <c r="BB12" s="28">
        <f>PROGRAMADO!BB12/'Anexo '!$I$23</f>
        <v>175147.10292042923</v>
      </c>
      <c r="BC12" s="28">
        <f>PROGRAMADO!BC12/'Anexo '!$I$23</f>
        <v>0</v>
      </c>
      <c r="BD12" s="28">
        <f>PROGRAMADO!BD12/'Anexo '!$I$23</f>
        <v>175147.10292042923</v>
      </c>
      <c r="BE12" s="28">
        <f>PROGRAMADO!BE12/'Anexo '!$I$23</f>
        <v>175147.10292042923</v>
      </c>
      <c r="BF12" s="28">
        <f>PROGRAMADO!BF12/'Anexo '!$J$23</f>
        <v>0</v>
      </c>
      <c r="BG12" s="28">
        <f>PROGRAMADO!BG12/'Anexo '!$J$23</f>
        <v>0</v>
      </c>
      <c r="BH12" s="28">
        <f>PROGRAMADO!BH12/'Anexo '!$J$23</f>
        <v>0</v>
      </c>
      <c r="BI12" s="28">
        <f>PROGRAMADO!BI12/'Anexo '!$J$23</f>
        <v>58322.797849824878</v>
      </c>
      <c r="BJ12" s="28">
        <f>PROGRAMADO!BJ12/'Anexo '!$J$23</f>
        <v>0</v>
      </c>
      <c r="BK12" s="28">
        <f>PROGRAMADO!BK12/'Anexo '!$J$23</f>
        <v>58322.797849824878</v>
      </c>
      <c r="BL12" s="28">
        <f>PROGRAMADO!BL12/'Anexo '!$J$23</f>
        <v>58322.797849824878</v>
      </c>
      <c r="BM12" s="28">
        <f>PROGRAMADO!BM12/'Anexo '!$K$23</f>
        <v>0</v>
      </c>
      <c r="BN12" s="28">
        <f>PROGRAMADO!BN12/'Anexo '!$K$23</f>
        <v>0</v>
      </c>
      <c r="BO12" s="28">
        <f>PROGRAMADO!BO12/'Anexo '!$K$23</f>
        <v>0</v>
      </c>
      <c r="BP12" s="28">
        <f>PROGRAMADO!BP12/'Anexo '!$K$23</f>
        <v>0</v>
      </c>
      <c r="BQ12" s="28">
        <f>PROGRAMADO!BQ12/'Anexo '!$K$23</f>
        <v>0</v>
      </c>
      <c r="BR12" s="28">
        <f>PROGRAMADO!BR12/'Anexo '!$K$23</f>
        <v>0</v>
      </c>
      <c r="BS12" s="28">
        <f>PROGRAMADO!BS12/'Anexo '!$K$23</f>
        <v>0</v>
      </c>
      <c r="BT12" s="28">
        <f>PROGRAMADO!BT12/'Anexo '!$L$23</f>
        <v>0</v>
      </c>
      <c r="BU12" s="28">
        <f>PROGRAMADO!BU12/'Anexo '!$L$23</f>
        <v>0</v>
      </c>
      <c r="BV12" s="28">
        <f>PROGRAMADO!BV12/'Anexo '!$L$23</f>
        <v>0</v>
      </c>
      <c r="BW12" s="28">
        <f>PROGRAMADO!BW12/'Anexo '!$L$23</f>
        <v>0</v>
      </c>
      <c r="BX12" s="28">
        <f>PROGRAMADO!BX12/'Anexo '!$L$23</f>
        <v>0</v>
      </c>
      <c r="BY12" s="28">
        <f>PROGRAMADO!BY12/'Anexo '!$L$23</f>
        <v>0</v>
      </c>
      <c r="BZ12" s="28">
        <f>PROGRAMADO!BZ12/'Anexo '!$L$23</f>
        <v>0</v>
      </c>
      <c r="CA12" s="28">
        <f>PROGRAMADO!CA12/'Anexo '!$L$23</f>
        <v>0</v>
      </c>
      <c r="CB12" s="28">
        <f>PROGRAMADO!CB12/'Anexo '!$M$23</f>
        <v>0</v>
      </c>
      <c r="CC12" s="28">
        <f>PROGRAMADO!CC12/'Anexo '!$M$23</f>
        <v>0</v>
      </c>
      <c r="CD12" s="28">
        <f>PROGRAMADO!CD12/'Anexo '!$M$23</f>
        <v>0</v>
      </c>
      <c r="CE12" s="28">
        <f>PROGRAMADO!CE12/'Anexo '!$M$23</f>
        <v>0</v>
      </c>
      <c r="CF12" s="28">
        <f>PROGRAMADO!CF12/'Anexo '!$M$23</f>
        <v>0</v>
      </c>
      <c r="CG12" s="28">
        <f>PROGRAMADO!CG12/'Anexo '!$M$23</f>
        <v>0</v>
      </c>
      <c r="CH12" s="28">
        <f>PROGRAMADO!CH12/'Anexo '!$M$23</f>
        <v>0</v>
      </c>
      <c r="CI12" s="29">
        <f>PROGRAMADO!CI12/'Anexo '!$M$23</f>
        <v>0</v>
      </c>
    </row>
    <row r="13" spans="1:87" x14ac:dyDescent="0.25">
      <c r="A13" s="15" t="s">
        <v>81</v>
      </c>
      <c r="B13" s="27">
        <f>PROGRAMADO!B13/'Anexo '!$B$23</f>
        <v>0</v>
      </c>
      <c r="C13" s="28">
        <f>PROGRAMADO!C13/'Anexo '!$B$23</f>
        <v>5830977.6651954558</v>
      </c>
      <c r="D13" s="28">
        <f>PROGRAMADO!D13/'Anexo '!$B$23</f>
        <v>5830977.6651954558</v>
      </c>
      <c r="E13" s="28">
        <f>PROGRAMADO!E13/'Anexo '!$B$23</f>
        <v>17060796.993256755</v>
      </c>
      <c r="F13" s="28">
        <f>PROGRAMADO!F13/'Anexo '!$B$23</f>
        <v>7667108.0876832278</v>
      </c>
      <c r="G13" s="28">
        <f>PROGRAMADO!G13/'Anexo '!$B$23</f>
        <v>24727905.080939986</v>
      </c>
      <c r="H13" s="28">
        <f>PROGRAMADO!H13/'Anexo '!$B$23</f>
        <v>30558882.74613544</v>
      </c>
      <c r="I13" s="28">
        <f>PROGRAMADO!I13/'Anexo '!$C$23</f>
        <v>0</v>
      </c>
      <c r="J13" s="28">
        <f>PROGRAMADO!J13/'Anexo '!$C$23</f>
        <v>7313237.5681830216</v>
      </c>
      <c r="K13" s="28">
        <f>PROGRAMADO!K13/'Anexo '!$C$23</f>
        <v>7313237.5681830216</v>
      </c>
      <c r="L13" s="28">
        <f>PROGRAMADO!L13/'Anexo '!$C$23</f>
        <v>11046209.818355134</v>
      </c>
      <c r="M13" s="28">
        <f>PROGRAMADO!M13/'Anexo '!$C$23</f>
        <v>13950389.834772017</v>
      </c>
      <c r="N13" s="28">
        <f>PROGRAMADO!N13/'Anexo '!$C$23</f>
        <v>24996599.653127149</v>
      </c>
      <c r="O13" s="28">
        <f>PROGRAMADO!O13/'Anexo '!$C$23</f>
        <v>32309837.221310172</v>
      </c>
      <c r="P13" s="28">
        <f>PROGRAMADO!P13/'Anexo '!$D$23</f>
        <v>0</v>
      </c>
      <c r="Q13" s="28">
        <f>PROGRAMADO!Q13/'Anexo '!$D$23</f>
        <v>5803518.5382718528</v>
      </c>
      <c r="R13" s="28">
        <f>PROGRAMADO!R13/'Anexo '!$D$23</f>
        <v>5803518.5382718528</v>
      </c>
      <c r="S13" s="28">
        <f>PROGRAMADO!S13/'Anexo '!$D$23</f>
        <v>11785042.949558582</v>
      </c>
      <c r="T13" s="28">
        <f>PROGRAMADO!T13/'Anexo '!$D$23</f>
        <v>10201168.202895096</v>
      </c>
      <c r="U13" s="28">
        <f>PROGRAMADO!U13/'Anexo '!$D$23</f>
        <v>21986211.152453676</v>
      </c>
      <c r="V13" s="28">
        <f>PROGRAMADO!V13/'Anexo '!$D$23</f>
        <v>27789729.690725531</v>
      </c>
      <c r="W13" s="28">
        <f>PROGRAMADO!W13/'Anexo '!$E$23</f>
        <v>0</v>
      </c>
      <c r="X13" s="28">
        <f>PROGRAMADO!X13/'Anexo '!$E$23</f>
        <v>3978191.2712973533</v>
      </c>
      <c r="Y13" s="28">
        <f>PROGRAMADO!Y13/'Anexo '!$E$23</f>
        <v>3978191.2712973533</v>
      </c>
      <c r="Z13" s="28">
        <f>PROGRAMADO!Z13/'Anexo '!$E$23</f>
        <v>19816751.567234199</v>
      </c>
      <c r="AA13" s="28">
        <f>PROGRAMADO!AA13/'Anexo '!$E$23</f>
        <v>5144186.5023635505</v>
      </c>
      <c r="AB13" s="28">
        <f>PROGRAMADO!AB13/'Anexo '!$E$23</f>
        <v>24960938.069597747</v>
      </c>
      <c r="AC13" s="28">
        <f>PROGRAMADO!AC13/'Anexo '!$E$23</f>
        <v>28939129.340895101</v>
      </c>
      <c r="AD13" s="28">
        <f>PROGRAMADO!AD13/'Anexo '!$F$23</f>
        <v>0</v>
      </c>
      <c r="AE13" s="28">
        <f>PROGRAMADO!AE13/'Anexo '!$F$23</f>
        <v>8964940.2390438244</v>
      </c>
      <c r="AF13" s="28">
        <f>PROGRAMADO!AF13/'Anexo '!$F$23</f>
        <v>8964940.2390438244</v>
      </c>
      <c r="AG13" s="28">
        <f>PROGRAMADO!AG13/'Anexo '!$F$23</f>
        <v>23953459.07797382</v>
      </c>
      <c r="AH13" s="28">
        <f>PROGRAMADO!AH13/'Anexo '!$F$23</f>
        <v>8510529.3113261238</v>
      </c>
      <c r="AI13" s="28">
        <f>PROGRAMADO!AI13/'Anexo '!$F$23</f>
        <v>32463988.389299944</v>
      </c>
      <c r="AJ13" s="28">
        <f>PROGRAMADO!AJ13/'Anexo '!$F$23</f>
        <v>41428928.628343768</v>
      </c>
      <c r="AK13" s="28">
        <f>PROGRAMADO!AK13/'Anexo '!$G$23</f>
        <v>0</v>
      </c>
      <c r="AL13" s="28">
        <f>PROGRAMADO!AL13/'Anexo '!$G$23</f>
        <v>13168914.654307939</v>
      </c>
      <c r="AM13" s="28">
        <f>PROGRAMADO!AM13/'Anexo '!$G$23</f>
        <v>13168914.654307939</v>
      </c>
      <c r="AN13" s="28">
        <f>PROGRAMADO!AN13/'Anexo '!$G$23</f>
        <v>19586301.054286256</v>
      </c>
      <c r="AO13" s="28">
        <f>PROGRAMADO!AO13/'Anexo '!$G$23</f>
        <v>2379597.1488196873</v>
      </c>
      <c r="AP13" s="28">
        <f>PROGRAMADO!AP13/'Anexo '!$G$23</f>
        <v>21965898.203105945</v>
      </c>
      <c r="AQ13" s="28">
        <f>PROGRAMADO!AQ13/'Anexo '!$G$23</f>
        <v>35134812.857413881</v>
      </c>
      <c r="AR13" s="28">
        <f>PROGRAMADO!AR13/'Anexo '!$H$23</f>
        <v>0</v>
      </c>
      <c r="AS13" s="28">
        <f>PROGRAMADO!AS13/'Anexo '!$H$23</f>
        <v>11856936.748589452</v>
      </c>
      <c r="AT13" s="28">
        <f>PROGRAMADO!AT13/'Anexo '!$H$23</f>
        <v>11856936.748589452</v>
      </c>
      <c r="AU13" s="28">
        <f>PROGRAMADO!AU13/'Anexo '!$H$23</f>
        <v>8991894.23856204</v>
      </c>
      <c r="AV13" s="28">
        <f>PROGRAMADO!AV13/'Anexo '!$H$23</f>
        <v>0</v>
      </c>
      <c r="AW13" s="28">
        <f>PROGRAMADO!AW13/'Anexo '!$H$23</f>
        <v>8991894.23856204</v>
      </c>
      <c r="AX13" s="28">
        <f>PROGRAMADO!AX13/'Anexo '!$H$23</f>
        <v>20848830.987151492</v>
      </c>
      <c r="AY13" s="28">
        <f>PROGRAMADO!AY13/'Anexo '!$I$23</f>
        <v>0</v>
      </c>
      <c r="AZ13" s="28">
        <f>PROGRAMADO!AZ13/'Anexo '!$I$23</f>
        <v>10691329.210682843</v>
      </c>
      <c r="BA13" s="28">
        <f>PROGRAMADO!BA13/'Anexo '!$I$23</f>
        <v>10691329.210682843</v>
      </c>
      <c r="BB13" s="28">
        <f>PROGRAMADO!BB13/'Anexo '!$I$23</f>
        <v>13248638.640508482</v>
      </c>
      <c r="BC13" s="28">
        <f>PROGRAMADO!BC13/'Anexo '!$I$23</f>
        <v>0</v>
      </c>
      <c r="BD13" s="28">
        <f>PROGRAMADO!BD13/'Anexo '!$I$23</f>
        <v>13248638.640508482</v>
      </c>
      <c r="BE13" s="28">
        <f>PROGRAMADO!BE13/'Anexo '!$I$23</f>
        <v>23939967.851191323</v>
      </c>
      <c r="BF13" s="28">
        <f>PROGRAMADO!BF13/'Anexo '!$J$23</f>
        <v>0</v>
      </c>
      <c r="BG13" s="28">
        <f>PROGRAMADO!BG13/'Anexo '!$J$23</f>
        <v>8779568.5134198647</v>
      </c>
      <c r="BH13" s="28">
        <f>PROGRAMADO!BH13/'Anexo '!$J$23</f>
        <v>8779568.5134198647</v>
      </c>
      <c r="BI13" s="28">
        <f>PROGRAMADO!BI13/'Anexo '!$J$23</f>
        <v>6126833.6423741821</v>
      </c>
      <c r="BJ13" s="28">
        <f>PROGRAMADO!BJ13/'Anexo '!$J$23</f>
        <v>0</v>
      </c>
      <c r="BK13" s="28">
        <f>PROGRAMADO!BK13/'Anexo '!$J$23</f>
        <v>6126833.6423741821</v>
      </c>
      <c r="BL13" s="28">
        <f>PROGRAMADO!BL13/'Anexo '!$J$23</f>
        <v>14906402.155794047</v>
      </c>
      <c r="BM13" s="28">
        <f>PROGRAMADO!BM13/'Anexo '!$K$23</f>
        <v>0</v>
      </c>
      <c r="BN13" s="28">
        <f>PROGRAMADO!BN13/'Anexo '!$K$23</f>
        <v>2764857.2307719751</v>
      </c>
      <c r="BO13" s="28">
        <f>PROGRAMADO!BO13/'Anexo '!$K$23</f>
        <v>2764857.2307719751</v>
      </c>
      <c r="BP13" s="28">
        <f>PROGRAMADO!BP13/'Anexo '!$K$23</f>
        <v>6385929.014506585</v>
      </c>
      <c r="BQ13" s="28">
        <f>PROGRAMADO!BQ13/'Anexo '!$K$23</f>
        <v>0</v>
      </c>
      <c r="BR13" s="28">
        <f>PROGRAMADO!BR13/'Anexo '!$K$23</f>
        <v>6385929.014506585</v>
      </c>
      <c r="BS13" s="28">
        <f>PROGRAMADO!BS13/'Anexo '!$K$23</f>
        <v>9150786.2452785596</v>
      </c>
      <c r="BT13" s="28">
        <f>PROGRAMADO!BT13/'Anexo '!$L$23</f>
        <v>0</v>
      </c>
      <c r="BU13" s="28">
        <f>PROGRAMADO!BU13/'Anexo '!$L$23</f>
        <v>6667805.679776784</v>
      </c>
      <c r="BV13" s="28">
        <f>PROGRAMADO!BV13/'Anexo '!$L$23</f>
        <v>0</v>
      </c>
      <c r="BW13" s="28">
        <f>PROGRAMADO!BW13/'Anexo '!$L$23</f>
        <v>6667805.679776784</v>
      </c>
      <c r="BX13" s="28">
        <f>PROGRAMADO!BX13/'Anexo '!$L$23</f>
        <v>2049543.8923500958</v>
      </c>
      <c r="BY13" s="28">
        <f>PROGRAMADO!BY13/'Anexo '!$L$23</f>
        <v>0</v>
      </c>
      <c r="BZ13" s="28">
        <f>PROGRAMADO!BZ13/'Anexo '!$L$23</f>
        <v>2049543.8923500958</v>
      </c>
      <c r="CA13" s="28">
        <f>PROGRAMADO!CA13/'Anexo '!$L$23</f>
        <v>8717349.5721268784</v>
      </c>
      <c r="CB13" s="28">
        <f>PROGRAMADO!CB13/'Anexo '!$M$23</f>
        <v>0</v>
      </c>
      <c r="CC13" s="28">
        <f>PROGRAMADO!CC13/'Anexo '!$M$23</f>
        <v>10734976.056672012</v>
      </c>
      <c r="CD13" s="28">
        <f>PROGRAMADO!CD13/'Anexo '!$M$23</f>
        <v>0</v>
      </c>
      <c r="CE13" s="28">
        <f>PROGRAMADO!CE13/'Anexo '!$M$23</f>
        <v>10734976.056672012</v>
      </c>
      <c r="CF13" s="28">
        <f>PROGRAMADO!CF13/'Anexo '!$M$23</f>
        <v>5978808.8067221846</v>
      </c>
      <c r="CG13" s="28">
        <f>PROGRAMADO!CG13/'Anexo '!$M$23</f>
        <v>0</v>
      </c>
      <c r="CH13" s="28">
        <f>PROGRAMADO!CH13/'Anexo '!$M$23</f>
        <v>5978808.8067221846</v>
      </c>
      <c r="CI13" s="29">
        <f>PROGRAMADO!CI13/'Anexo '!$M$23</f>
        <v>16713784.863394197</v>
      </c>
    </row>
    <row r="14" spans="1:87" x14ac:dyDescent="0.25">
      <c r="A14" s="15" t="s">
        <v>6</v>
      </c>
      <c r="B14" s="27">
        <f>PROGRAMADO!B14/'Anexo '!$B$23</f>
        <v>0</v>
      </c>
      <c r="C14" s="28">
        <f>PROGRAMADO!C14/'Anexo '!$B$23</f>
        <v>5360914.4428929286</v>
      </c>
      <c r="D14" s="28">
        <f>PROGRAMADO!D14/'Anexo '!$B$23</f>
        <v>5360914.4428929286</v>
      </c>
      <c r="E14" s="28">
        <f>PROGRAMADO!E14/'Anexo '!$B$23</f>
        <v>6037241.5148091754</v>
      </c>
      <c r="F14" s="28">
        <f>PROGRAMADO!F14/'Anexo '!$B$23</f>
        <v>27525184.790159494</v>
      </c>
      <c r="G14" s="28">
        <f>PROGRAMADO!G14/'Anexo '!$B$23</f>
        <v>33562426.30496867</v>
      </c>
      <c r="H14" s="28">
        <f>PROGRAMADO!H14/'Anexo '!$B$23</f>
        <v>38923340.747861594</v>
      </c>
      <c r="I14" s="28">
        <f>PROGRAMADO!I14/'Anexo '!$C$23</f>
        <v>0</v>
      </c>
      <c r="J14" s="28">
        <f>PROGRAMADO!J14/'Anexo '!$C$23</f>
        <v>5150664.6189694433</v>
      </c>
      <c r="K14" s="28">
        <f>PROGRAMADO!K14/'Anexo '!$C$23</f>
        <v>5150664.6189694433</v>
      </c>
      <c r="L14" s="28">
        <f>PROGRAMADO!L14/'Anexo '!$C$23</f>
        <v>5765566.9120372823</v>
      </c>
      <c r="M14" s="28">
        <f>PROGRAMADO!M14/'Anexo '!$C$23</f>
        <v>18750341.113700151</v>
      </c>
      <c r="N14" s="28">
        <f>PROGRAMADO!N14/'Anexo '!$C$23</f>
        <v>24515908.025737435</v>
      </c>
      <c r="O14" s="28">
        <f>PROGRAMADO!O14/'Anexo '!$C$23</f>
        <v>29666572.644706879</v>
      </c>
      <c r="P14" s="28">
        <f>PROGRAMADO!P14/'Anexo '!$D$23</f>
        <v>0</v>
      </c>
      <c r="Q14" s="28">
        <f>PROGRAMADO!Q14/'Anexo '!$D$23</f>
        <v>5690771.3979155812</v>
      </c>
      <c r="R14" s="28">
        <f>PROGRAMADO!R14/'Anexo '!$D$23</f>
        <v>5690771.3979155812</v>
      </c>
      <c r="S14" s="28">
        <f>PROGRAMADO!S14/'Anexo '!$D$23</f>
        <v>4318096.5408193357</v>
      </c>
      <c r="T14" s="28">
        <f>PROGRAMADO!T14/'Anexo '!$D$23</f>
        <v>22230244.771699097</v>
      </c>
      <c r="U14" s="28">
        <f>PROGRAMADO!U14/'Anexo '!$D$23</f>
        <v>26548341.312518429</v>
      </c>
      <c r="V14" s="28">
        <f>PROGRAMADO!V14/'Anexo '!$D$23</f>
        <v>32239112.710434008</v>
      </c>
      <c r="W14" s="28">
        <f>PROGRAMADO!W14/'Anexo '!$E$23</f>
        <v>0</v>
      </c>
      <c r="X14" s="28">
        <f>PROGRAMADO!X14/'Anexo '!$E$23</f>
        <v>6102496.2201119922</v>
      </c>
      <c r="Y14" s="28">
        <f>PROGRAMADO!Y14/'Anexo '!$E$23</f>
        <v>6102496.2201119922</v>
      </c>
      <c r="Z14" s="28">
        <f>PROGRAMADO!Z14/'Anexo '!$E$23</f>
        <v>4437588.5210926719</v>
      </c>
      <c r="AA14" s="28">
        <f>PROGRAMADO!AA14/'Anexo '!$E$23</f>
        <v>22156980.39239122</v>
      </c>
      <c r="AB14" s="28">
        <f>PROGRAMADO!AB14/'Anexo '!$E$23</f>
        <v>26594568.913483892</v>
      </c>
      <c r="AC14" s="28">
        <f>PROGRAMADO!AC14/'Anexo '!$E$23</f>
        <v>32697065.133595884</v>
      </c>
      <c r="AD14" s="28">
        <f>PROGRAMADO!AD14/'Anexo '!$F$23</f>
        <v>0</v>
      </c>
      <c r="AE14" s="28">
        <f>PROGRAMADO!AE14/'Anexo '!$F$23</f>
        <v>5554315.0825270349</v>
      </c>
      <c r="AF14" s="28">
        <f>PROGRAMADO!AF14/'Anexo '!$F$23</f>
        <v>5554315.0825270349</v>
      </c>
      <c r="AG14" s="28">
        <f>PROGRAMADO!AG14/'Anexo '!$F$23</f>
        <v>5150147.7518497435</v>
      </c>
      <c r="AH14" s="28">
        <f>PROGRAMADO!AH14/'Anexo '!$F$23</f>
        <v>13301459.590210587</v>
      </c>
      <c r="AI14" s="28">
        <f>PROGRAMADO!AI14/'Anexo '!$F$23</f>
        <v>18451607.342060331</v>
      </c>
      <c r="AJ14" s="28">
        <f>PROGRAMADO!AJ14/'Anexo '!$F$23</f>
        <v>24005922.424587365</v>
      </c>
      <c r="AK14" s="28">
        <f>PROGRAMADO!AK14/'Anexo '!$G$23</f>
        <v>0</v>
      </c>
      <c r="AL14" s="28">
        <f>PROGRAMADO!AL14/'Anexo '!$G$23</f>
        <v>4439393.5550315743</v>
      </c>
      <c r="AM14" s="28">
        <f>PROGRAMADO!AM14/'Anexo '!$G$23</f>
        <v>4439393.5550315743</v>
      </c>
      <c r="AN14" s="28">
        <f>PROGRAMADO!AN14/'Anexo '!$G$23</f>
        <v>2950196.4929398056</v>
      </c>
      <c r="AO14" s="28">
        <f>PROGRAMADO!AO14/'Anexo '!$G$23</f>
        <v>13789739.003170989</v>
      </c>
      <c r="AP14" s="28">
        <f>PROGRAMADO!AP14/'Anexo '!$G$23</f>
        <v>16739935.496110795</v>
      </c>
      <c r="AQ14" s="28">
        <f>PROGRAMADO!AQ14/'Anexo '!$G$23</f>
        <v>21179329.051142368</v>
      </c>
      <c r="AR14" s="28">
        <f>PROGRAMADO!AR14/'Anexo '!$H$23</f>
        <v>0</v>
      </c>
      <c r="AS14" s="28">
        <f>PROGRAMADO!AS14/'Anexo '!$H$23</f>
        <v>768859.9466237179</v>
      </c>
      <c r="AT14" s="28">
        <f>PROGRAMADO!AT14/'Anexo '!$H$23</f>
        <v>768859.9466237179</v>
      </c>
      <c r="AU14" s="28">
        <f>PROGRAMADO!AU14/'Anexo '!$H$23</f>
        <v>2994004.976280076</v>
      </c>
      <c r="AV14" s="28">
        <f>PROGRAMADO!AV14/'Anexo '!$H$23</f>
        <v>17537618.922253367</v>
      </c>
      <c r="AW14" s="28">
        <f>PROGRAMADO!AW14/'Anexo '!$H$23</f>
        <v>20531623.898533441</v>
      </c>
      <c r="AX14" s="28">
        <f>PROGRAMADO!AX14/'Anexo '!$H$23</f>
        <v>21300483.845157161</v>
      </c>
      <c r="AY14" s="28">
        <f>PROGRAMADO!AY14/'Anexo '!$I$23</f>
        <v>0</v>
      </c>
      <c r="AZ14" s="28">
        <f>PROGRAMADO!AZ14/'Anexo '!$I$23</f>
        <v>188952.65670086368</v>
      </c>
      <c r="BA14" s="28">
        <f>PROGRAMADO!BA14/'Anexo '!$I$23</f>
        <v>188952.65670086368</v>
      </c>
      <c r="BB14" s="28">
        <f>PROGRAMADO!BB14/'Anexo '!$I$23</f>
        <v>2852490.9919431349</v>
      </c>
      <c r="BC14" s="28">
        <f>PROGRAMADO!BC14/'Anexo '!$I$23</f>
        <v>16618719.01253017</v>
      </c>
      <c r="BD14" s="28">
        <f>PROGRAMADO!BD14/'Anexo '!$I$23</f>
        <v>19471210.004473306</v>
      </c>
      <c r="BE14" s="28">
        <f>PROGRAMADO!BE14/'Anexo '!$I$23</f>
        <v>19660162.661174167</v>
      </c>
      <c r="BF14" s="28">
        <f>PROGRAMADO!BF14/'Anexo '!$J$23</f>
        <v>0</v>
      </c>
      <c r="BG14" s="28">
        <f>PROGRAMADO!BG14/'Anexo '!$J$23</f>
        <v>222415.76295630349</v>
      </c>
      <c r="BH14" s="28">
        <f>PROGRAMADO!BH14/'Anexo '!$J$23</f>
        <v>222415.76295630349</v>
      </c>
      <c r="BI14" s="28">
        <f>PROGRAMADO!BI14/'Anexo '!$J$23</f>
        <v>5680449.0457193162</v>
      </c>
      <c r="BJ14" s="28">
        <f>PROGRAMADO!BJ14/'Anexo '!$J$23</f>
        <v>4860093.4614448128</v>
      </c>
      <c r="BK14" s="28">
        <f>PROGRAMADO!BK14/'Anexo '!$J$23</f>
        <v>10540542.507164128</v>
      </c>
      <c r="BL14" s="28">
        <f>PROGRAMADO!BL14/'Anexo '!$J$23</f>
        <v>10762958.270120433</v>
      </c>
      <c r="BM14" s="28">
        <f>PROGRAMADO!BM14/'Anexo '!$K$23</f>
        <v>0</v>
      </c>
      <c r="BN14" s="28">
        <f>PROGRAMADO!BN14/'Anexo '!$K$23</f>
        <v>0</v>
      </c>
      <c r="BO14" s="28">
        <f>PROGRAMADO!BO14/'Anexo '!$K$23</f>
        <v>0</v>
      </c>
      <c r="BP14" s="28">
        <f>PROGRAMADO!BP14/'Anexo '!$K$23</f>
        <v>4204664.0028897226</v>
      </c>
      <c r="BQ14" s="28">
        <f>PROGRAMADO!BQ14/'Anexo '!$K$23</f>
        <v>4358525.6618935708</v>
      </c>
      <c r="BR14" s="28">
        <f>PROGRAMADO!BR14/'Anexo '!$K$23</f>
        <v>8563189.6647832934</v>
      </c>
      <c r="BS14" s="28">
        <f>PROGRAMADO!BS14/'Anexo '!$K$23</f>
        <v>8563189.6647832934</v>
      </c>
      <c r="BT14" s="28">
        <f>PROGRAMADO!BT14/'Anexo '!$L$23</f>
        <v>0</v>
      </c>
      <c r="BU14" s="28">
        <f>PROGRAMADO!BU14/'Anexo '!$L$23</f>
        <v>246191.61071402786</v>
      </c>
      <c r="BV14" s="28">
        <f>PROGRAMADO!BV14/'Anexo '!$L$23</f>
        <v>0</v>
      </c>
      <c r="BW14" s="28">
        <f>PROGRAMADO!BW14/'Anexo '!$L$23</f>
        <v>246191.61071402786</v>
      </c>
      <c r="BX14" s="28">
        <f>PROGRAMADO!BX14/'Anexo '!$L$23</f>
        <v>8640879.6561726276</v>
      </c>
      <c r="BY14" s="28">
        <f>PROGRAMADO!BY14/'Anexo '!$L$23</f>
        <v>434607.43968369236</v>
      </c>
      <c r="BZ14" s="28">
        <f>PROGRAMADO!BZ14/'Anexo '!$L$23</f>
        <v>9075487.0958563183</v>
      </c>
      <c r="CA14" s="28">
        <f>PROGRAMADO!CA14/'Anexo '!$L$23</f>
        <v>9321678.7065703478</v>
      </c>
      <c r="CB14" s="28">
        <f>PROGRAMADO!CB14/'Anexo '!$M$23</f>
        <v>0</v>
      </c>
      <c r="CC14" s="28">
        <f>PROGRAMADO!CC14/'Anexo '!$M$23</f>
        <v>404485.41972334281</v>
      </c>
      <c r="CD14" s="28">
        <f>PROGRAMADO!CD14/'Anexo '!$M$23</f>
        <v>0</v>
      </c>
      <c r="CE14" s="28">
        <f>PROGRAMADO!CE14/'Anexo '!$M$23</f>
        <v>404485.41972334281</v>
      </c>
      <c r="CF14" s="28">
        <f>PROGRAMADO!CF14/'Anexo '!$M$23</f>
        <v>5879151.1631797021</v>
      </c>
      <c r="CG14" s="28">
        <f>PROGRAMADO!CG14/'Anexo '!$M$23</f>
        <v>308177.44128721487</v>
      </c>
      <c r="CH14" s="28">
        <f>PROGRAMADO!CH14/'Anexo '!$M$23</f>
        <v>6187328.604466917</v>
      </c>
      <c r="CI14" s="29">
        <f>PROGRAMADO!CI14/'Anexo '!$M$23</f>
        <v>6591814.0241902601</v>
      </c>
    </row>
    <row r="15" spans="1:87" x14ac:dyDescent="0.25">
      <c r="A15" s="15" t="s">
        <v>80</v>
      </c>
      <c r="B15" s="27">
        <f>PROGRAMADO!B15/'Anexo '!$B$23</f>
        <v>0</v>
      </c>
      <c r="C15" s="28">
        <f>PROGRAMADO!C15/'Anexo '!$B$23</f>
        <v>0</v>
      </c>
      <c r="D15" s="28">
        <f>PROGRAMADO!D15/'Anexo '!$B$23</f>
        <v>0</v>
      </c>
      <c r="E15" s="28">
        <f>PROGRAMADO!E15/'Anexo '!$B$23</f>
        <v>0</v>
      </c>
      <c r="F15" s="28">
        <f>PROGRAMADO!F15/'Anexo '!$B$23</f>
        <v>0</v>
      </c>
      <c r="G15" s="28">
        <f>PROGRAMADO!G15/'Anexo '!$B$23</f>
        <v>0</v>
      </c>
      <c r="H15" s="28">
        <f>PROGRAMADO!H15/'Anexo '!$B$23</f>
        <v>0</v>
      </c>
      <c r="I15" s="28">
        <f>PROGRAMADO!I15/'Anexo '!$C$23</f>
        <v>0</v>
      </c>
      <c r="J15" s="28">
        <f>PROGRAMADO!J15/'Anexo '!$C$23</f>
        <v>0</v>
      </c>
      <c r="K15" s="28">
        <f>PROGRAMADO!K15/'Anexo '!$C$23</f>
        <v>0</v>
      </c>
      <c r="L15" s="28">
        <f>PROGRAMADO!L15/'Anexo '!$C$23</f>
        <v>0</v>
      </c>
      <c r="M15" s="28">
        <f>PROGRAMADO!M15/'Anexo '!$C$23</f>
        <v>0</v>
      </c>
      <c r="N15" s="28">
        <f>PROGRAMADO!N15/'Anexo '!$C$23</f>
        <v>0</v>
      </c>
      <c r="O15" s="28">
        <f>PROGRAMADO!O15/'Anexo '!$C$23</f>
        <v>0</v>
      </c>
      <c r="P15" s="28">
        <f>PROGRAMADO!P15/'Anexo '!$D$23</f>
        <v>0</v>
      </c>
      <c r="Q15" s="28">
        <f>PROGRAMADO!Q15/'Anexo '!$D$23</f>
        <v>3048445.0942129469</v>
      </c>
      <c r="R15" s="28">
        <f>PROGRAMADO!R15/'Anexo '!$D$23</f>
        <v>3048445.0942129469</v>
      </c>
      <c r="S15" s="28">
        <f>PROGRAMADO!S15/'Anexo '!$D$23</f>
        <v>3791106.3981979382</v>
      </c>
      <c r="T15" s="28">
        <f>PROGRAMADO!T15/'Anexo '!$D$23</f>
        <v>4961913.2475387929</v>
      </c>
      <c r="U15" s="28">
        <f>PROGRAMADO!U15/'Anexo '!$D$23</f>
        <v>8753019.6457367297</v>
      </c>
      <c r="V15" s="28">
        <f>PROGRAMADO!V15/'Anexo '!$D$23</f>
        <v>11801464.739949677</v>
      </c>
      <c r="W15" s="28">
        <f>PROGRAMADO!W15/'Anexo '!$E$23</f>
        <v>0</v>
      </c>
      <c r="X15" s="28">
        <f>PROGRAMADO!X15/'Anexo '!$E$23</f>
        <v>3704962.85849175</v>
      </c>
      <c r="Y15" s="28">
        <f>PROGRAMADO!Y15/'Anexo '!$E$23</f>
        <v>3704962.85849175</v>
      </c>
      <c r="Z15" s="28">
        <f>PROGRAMADO!Z15/'Anexo '!$E$23</f>
        <v>4123729.3301381078</v>
      </c>
      <c r="AA15" s="28">
        <f>PROGRAMADO!AA15/'Anexo '!$E$23</f>
        <v>4183024.2689726474</v>
      </c>
      <c r="AB15" s="28">
        <f>PROGRAMADO!AB15/'Anexo '!$E$23</f>
        <v>8306753.5991107551</v>
      </c>
      <c r="AC15" s="28">
        <f>PROGRAMADO!AC15/'Anexo '!$E$23</f>
        <v>12011716.457602505</v>
      </c>
      <c r="AD15" s="28">
        <f>PROGRAMADO!AD15/'Anexo '!$F$23</f>
        <v>0</v>
      </c>
      <c r="AE15" s="28">
        <f>PROGRAMADO!AE15/'Anexo '!$F$23</f>
        <v>3645589.0722822994</v>
      </c>
      <c r="AF15" s="28">
        <f>PROGRAMADO!AF15/'Anexo '!$F$23</f>
        <v>3645589.0722822994</v>
      </c>
      <c r="AG15" s="28">
        <f>PROGRAMADO!AG15/'Anexo '!$F$23</f>
        <v>2483720.4325554925</v>
      </c>
      <c r="AH15" s="28">
        <f>PROGRAMADO!AH15/'Anexo '!$F$23</f>
        <v>4531574.6158224242</v>
      </c>
      <c r="AI15" s="28">
        <f>PROGRAMADO!AI15/'Anexo '!$F$23</f>
        <v>7015295.0483779171</v>
      </c>
      <c r="AJ15" s="28">
        <f>PROGRAMADO!AJ15/'Anexo '!$F$23</f>
        <v>10660884.120660216</v>
      </c>
      <c r="AK15" s="28">
        <f>PROGRAMADO!AK15/'Anexo '!$G$23</f>
        <v>0</v>
      </c>
      <c r="AL15" s="28">
        <f>PROGRAMADO!AL15/'Anexo '!$G$23</f>
        <v>2844032.7397891427</v>
      </c>
      <c r="AM15" s="28">
        <f>PROGRAMADO!AM15/'Anexo '!$G$23</f>
        <v>2844032.7397891427</v>
      </c>
      <c r="AN15" s="28">
        <f>PROGRAMADO!AN15/'Anexo '!$G$23</f>
        <v>4850258.7202211563</v>
      </c>
      <c r="AO15" s="28">
        <f>PROGRAMADO!AO15/'Anexo '!$G$23</f>
        <v>4688493.4818548933</v>
      </c>
      <c r="AP15" s="28">
        <f>PROGRAMADO!AP15/'Anexo '!$G$23</f>
        <v>9538752.2020760495</v>
      </c>
      <c r="AQ15" s="28">
        <f>PROGRAMADO!AQ15/'Anexo '!$G$23</f>
        <v>12382784.941865193</v>
      </c>
      <c r="AR15" s="28">
        <f>PROGRAMADO!AR15/'Anexo '!$H$23</f>
        <v>0</v>
      </c>
      <c r="AS15" s="28">
        <f>PROGRAMADO!AS15/'Anexo '!$H$23</f>
        <v>2702131.4378042421</v>
      </c>
      <c r="AT15" s="28">
        <f>PROGRAMADO!AT15/'Anexo '!$H$23</f>
        <v>2702131.4378042421</v>
      </c>
      <c r="AU15" s="28">
        <f>PROGRAMADO!AU15/'Anexo '!$H$23</f>
        <v>4674565.3240002273</v>
      </c>
      <c r="AV15" s="28">
        <f>PROGRAMADO!AV15/'Anexo '!$H$23</f>
        <v>2938763.9312612601</v>
      </c>
      <c r="AW15" s="28">
        <f>PROGRAMADO!AW15/'Anexo '!$H$23</f>
        <v>7613329.2552614873</v>
      </c>
      <c r="AX15" s="28">
        <f>PROGRAMADO!AX15/'Anexo '!$H$23</f>
        <v>10315460.693065729</v>
      </c>
      <c r="AY15" s="28">
        <f>PROGRAMADO!AY15/'Anexo '!$I$23</f>
        <v>0</v>
      </c>
      <c r="AZ15" s="28">
        <f>PROGRAMADO!AZ15/'Anexo '!$I$23</f>
        <v>5309574.0037064524</v>
      </c>
      <c r="BA15" s="28">
        <f>PROGRAMADO!BA15/'Anexo '!$I$23</f>
        <v>5309574.0037064524</v>
      </c>
      <c r="BB15" s="28">
        <f>PROGRAMADO!BB15/'Anexo '!$I$23</f>
        <v>6168012.0336825131</v>
      </c>
      <c r="BC15" s="28">
        <f>PROGRAMADO!BC15/'Anexo '!$I$23</f>
        <v>2204708.6206981307</v>
      </c>
      <c r="BD15" s="28">
        <f>PROGRAMADO!BD15/'Anexo '!$I$23</f>
        <v>8372720.6543806437</v>
      </c>
      <c r="BE15" s="28">
        <f>PROGRAMADO!BE15/'Anexo '!$I$23</f>
        <v>13682294.658087097</v>
      </c>
      <c r="BF15" s="28">
        <f>PROGRAMADO!BF15/'Anexo '!$J$23</f>
        <v>0</v>
      </c>
      <c r="BG15" s="28">
        <f>PROGRAMADO!BG15/'Anexo '!$J$23</f>
        <v>2734070.5830570692</v>
      </c>
      <c r="BH15" s="28">
        <f>PROGRAMADO!BH15/'Anexo '!$J$23</f>
        <v>2734070.5830570692</v>
      </c>
      <c r="BI15" s="28">
        <f>PROGRAMADO!BI15/'Anexo '!$J$23</f>
        <v>12044315.427693805</v>
      </c>
      <c r="BJ15" s="28">
        <f>PROGRAMADO!BJ15/'Anexo '!$J$23</f>
        <v>1818001.9572587139</v>
      </c>
      <c r="BK15" s="28">
        <f>PROGRAMADO!BK15/'Anexo '!$J$23</f>
        <v>13862317.384952519</v>
      </c>
      <c r="BL15" s="28">
        <f>PROGRAMADO!BL15/'Anexo '!$J$23</f>
        <v>16596387.968009589</v>
      </c>
      <c r="BM15" s="28">
        <f>PROGRAMADO!BM15/'Anexo '!$K$23</f>
        <v>0</v>
      </c>
      <c r="BN15" s="28">
        <f>PROGRAMADO!BN15/'Anexo '!$K$23</f>
        <v>3536764.2691187686</v>
      </c>
      <c r="BO15" s="28">
        <f>PROGRAMADO!BO15/'Anexo '!$K$23</f>
        <v>3536764.2691187686</v>
      </c>
      <c r="BP15" s="28">
        <f>PROGRAMADO!BP15/'Anexo '!$K$23</f>
        <v>13896387.534950925</v>
      </c>
      <c r="BQ15" s="28">
        <f>PROGRAMADO!BQ15/'Anexo '!$K$23</f>
        <v>3512408.0573306638</v>
      </c>
      <c r="BR15" s="28">
        <f>PROGRAMADO!BR15/'Anexo '!$K$23</f>
        <v>17408795.592281587</v>
      </c>
      <c r="BS15" s="28">
        <f>PROGRAMADO!BS15/'Anexo '!$K$23</f>
        <v>20945559.861400358</v>
      </c>
      <c r="BT15" s="28">
        <f>PROGRAMADO!BT15/'Anexo '!$L$23</f>
        <v>0</v>
      </c>
      <c r="BU15" s="28">
        <f>PROGRAMADO!BU15/'Anexo '!$L$23</f>
        <v>3373833.0636564782</v>
      </c>
      <c r="BV15" s="28">
        <f>PROGRAMADO!BV15/'Anexo '!$L$23</f>
        <v>0</v>
      </c>
      <c r="BW15" s="28">
        <f>PROGRAMADO!BW15/'Anexo '!$L$23</f>
        <v>3373833.0636564782</v>
      </c>
      <c r="BX15" s="28">
        <f>PROGRAMADO!BX15/'Anexo '!$L$23</f>
        <v>11162975.661132984</v>
      </c>
      <c r="BY15" s="28">
        <f>PROGRAMADO!BY15/'Anexo '!$L$23</f>
        <v>88627.111230023744</v>
      </c>
      <c r="BZ15" s="28">
        <f>PROGRAMADO!BZ15/'Anexo '!$L$23</f>
        <v>11251602.772363005</v>
      </c>
      <c r="CA15" s="28">
        <f>PROGRAMADO!CA15/'Anexo '!$L$23</f>
        <v>14625435.836019484</v>
      </c>
      <c r="CB15" s="28">
        <f>PROGRAMADO!CB15/'Anexo '!$M$23</f>
        <v>0</v>
      </c>
      <c r="CC15" s="28">
        <f>PROGRAMADO!CC15/'Anexo '!$M$23</f>
        <v>2122921.7033896884</v>
      </c>
      <c r="CD15" s="28">
        <f>PROGRAMADO!CD15/'Anexo '!$M$23</f>
        <v>0</v>
      </c>
      <c r="CE15" s="28">
        <f>PROGRAMADO!CE15/'Anexo '!$M$23</f>
        <v>2122921.7033896884</v>
      </c>
      <c r="CF15" s="28">
        <f>PROGRAMADO!CF15/'Anexo '!$M$23</f>
        <v>12429756.051014381</v>
      </c>
      <c r="CG15" s="28">
        <f>PROGRAMADO!CG15/'Anexo '!$M$23</f>
        <v>1376537.2569736734</v>
      </c>
      <c r="CH15" s="28">
        <f>PROGRAMADO!CH15/'Anexo '!$M$23</f>
        <v>13806293.307988053</v>
      </c>
      <c r="CI15" s="29">
        <f>PROGRAMADO!CI15/'Anexo '!$M$23</f>
        <v>15929215.011377743</v>
      </c>
    </row>
    <row r="16" spans="1:87" x14ac:dyDescent="0.25">
      <c r="A16" s="15" t="s">
        <v>7</v>
      </c>
      <c r="B16" s="27">
        <f>PROGRAMADO!B16/'Anexo '!$B$23</f>
        <v>0</v>
      </c>
      <c r="C16" s="28">
        <f>PROGRAMADO!C16/'Anexo '!$B$23</f>
        <v>983429.51169367007</v>
      </c>
      <c r="D16" s="28">
        <f>PROGRAMADO!D16/'Anexo '!$B$23</f>
        <v>983429.51169367007</v>
      </c>
      <c r="E16" s="28">
        <f>PROGRAMADO!E16/'Anexo '!$B$23</f>
        <v>1794901.5879253121</v>
      </c>
      <c r="F16" s="28">
        <f>PROGRAMADO!F16/'Anexo '!$B$23</f>
        <v>3067730.9438437195</v>
      </c>
      <c r="G16" s="28">
        <f>PROGRAMADO!G16/'Anexo '!$B$23</f>
        <v>4862632.5317690317</v>
      </c>
      <c r="H16" s="28">
        <f>PROGRAMADO!H16/'Anexo '!$B$23</f>
        <v>5846062.0434627011</v>
      </c>
      <c r="I16" s="28">
        <f>PROGRAMADO!I16/'Anexo '!$C$23</f>
        <v>0</v>
      </c>
      <c r="J16" s="28">
        <f>PROGRAMADO!J16/'Anexo '!$C$23</f>
        <v>2106335.9900439549</v>
      </c>
      <c r="K16" s="28">
        <f>PROGRAMADO!K16/'Anexo '!$C$23</f>
        <v>2106335.9900439549</v>
      </c>
      <c r="L16" s="28">
        <f>PROGRAMADO!L16/'Anexo '!$C$23</f>
        <v>2286509.4926653602</v>
      </c>
      <c r="M16" s="28">
        <f>PROGRAMADO!M16/'Anexo '!$C$23</f>
        <v>9629022.5996928457</v>
      </c>
      <c r="N16" s="28">
        <f>PROGRAMADO!N16/'Anexo '!$C$23</f>
        <v>11915532.092358205</v>
      </c>
      <c r="O16" s="28">
        <f>PROGRAMADO!O16/'Anexo '!$C$23</f>
        <v>14021868.08240216</v>
      </c>
      <c r="P16" s="28">
        <f>PROGRAMADO!P16/'Anexo '!$D$23</f>
        <v>0</v>
      </c>
      <c r="Q16" s="28">
        <f>PROGRAMADO!Q16/'Anexo '!$D$23</f>
        <v>2133904.1117378729</v>
      </c>
      <c r="R16" s="28">
        <f>PROGRAMADO!R16/'Anexo '!$D$23</f>
        <v>2133904.1117378729</v>
      </c>
      <c r="S16" s="28">
        <f>PROGRAMADO!S16/'Anexo '!$D$23</f>
        <v>1644142.9853237374</v>
      </c>
      <c r="T16" s="28">
        <f>PROGRAMADO!T16/'Anexo '!$D$23</f>
        <v>12789144.961819129</v>
      </c>
      <c r="U16" s="28">
        <f>PROGRAMADO!U16/'Anexo '!$D$23</f>
        <v>14433287.947142866</v>
      </c>
      <c r="V16" s="28">
        <f>PROGRAMADO!V16/'Anexo '!$D$23</f>
        <v>16567192.058880739</v>
      </c>
      <c r="W16" s="28">
        <f>PROGRAMADO!W16/'Anexo '!$E$23</f>
        <v>0</v>
      </c>
      <c r="X16" s="28">
        <f>PROGRAMADO!X16/'Anexo '!$E$23</f>
        <v>2195739.8122307016</v>
      </c>
      <c r="Y16" s="28">
        <f>PROGRAMADO!Y16/'Anexo '!$E$23</f>
        <v>2195739.8122307016</v>
      </c>
      <c r="Z16" s="28">
        <f>PROGRAMADO!Z16/'Anexo '!$E$23</f>
        <v>1341266.0383785625</v>
      </c>
      <c r="AA16" s="28">
        <f>PROGRAMADO!AA16/'Anexo '!$E$23</f>
        <v>10546075.60971237</v>
      </c>
      <c r="AB16" s="28">
        <f>PROGRAMADO!AB16/'Anexo '!$E$23</f>
        <v>11887341.648090933</v>
      </c>
      <c r="AC16" s="28">
        <f>PROGRAMADO!AC16/'Anexo '!$E$23</f>
        <v>14083081.460321635</v>
      </c>
      <c r="AD16" s="28">
        <f>PROGRAMADO!AD16/'Anexo '!$F$23</f>
        <v>0</v>
      </c>
      <c r="AE16" s="28">
        <f>PROGRAMADO!AE16/'Anexo '!$F$23</f>
        <v>3544525.8964143428</v>
      </c>
      <c r="AF16" s="28">
        <f>PROGRAMADO!AF16/'Anexo '!$F$23</f>
        <v>3544525.8964143428</v>
      </c>
      <c r="AG16" s="28">
        <f>PROGRAMADO!AG16/'Anexo '!$F$23</f>
        <v>167516.44849174729</v>
      </c>
      <c r="AH16" s="28">
        <f>PROGRAMADO!AH16/'Anexo '!$F$23</f>
        <v>14215692.202618098</v>
      </c>
      <c r="AI16" s="28">
        <f>PROGRAMADO!AI16/'Anexo '!$F$23</f>
        <v>14383208.651109846</v>
      </c>
      <c r="AJ16" s="28">
        <f>PROGRAMADO!AJ16/'Anexo '!$F$23</f>
        <v>17927734.547524188</v>
      </c>
      <c r="AK16" s="28">
        <f>PROGRAMADO!AK16/'Anexo '!$G$23</f>
        <v>0</v>
      </c>
      <c r="AL16" s="28">
        <f>PROGRAMADO!AL16/'Anexo '!$G$23</f>
        <v>2852480.2558473591</v>
      </c>
      <c r="AM16" s="28">
        <f>PROGRAMADO!AM16/'Anexo '!$G$23</f>
        <v>2852480.2558473591</v>
      </c>
      <c r="AN16" s="28">
        <f>PROGRAMADO!AN16/'Anexo '!$G$23</f>
        <v>78933.355015312904</v>
      </c>
      <c r="AO16" s="28">
        <f>PROGRAMADO!AO16/'Anexo '!$G$23</f>
        <v>5209149.3617367269</v>
      </c>
      <c r="AP16" s="28">
        <f>PROGRAMADO!AP16/'Anexo '!$G$23</f>
        <v>5288082.7167520393</v>
      </c>
      <c r="AQ16" s="28">
        <f>PROGRAMADO!AQ16/'Anexo '!$G$23</f>
        <v>8140562.9725993983</v>
      </c>
      <c r="AR16" s="28">
        <f>PROGRAMADO!AR16/'Anexo '!$H$23</f>
        <v>0</v>
      </c>
      <c r="AS16" s="28">
        <f>PROGRAMADO!AS16/'Anexo '!$H$23</f>
        <v>1169012.8485073741</v>
      </c>
      <c r="AT16" s="28">
        <f>PROGRAMADO!AT16/'Anexo '!$H$23</f>
        <v>1169012.8485073741</v>
      </c>
      <c r="AU16" s="28">
        <f>PROGRAMADO!AU16/'Anexo '!$H$23</f>
        <v>0</v>
      </c>
      <c r="AV16" s="28">
        <f>PROGRAMADO!AV16/'Anexo '!$H$23</f>
        <v>3625584.2741290219</v>
      </c>
      <c r="AW16" s="28">
        <f>PROGRAMADO!AW16/'Anexo '!$H$23</f>
        <v>3625584.2741290219</v>
      </c>
      <c r="AX16" s="28">
        <f>PROGRAMADO!AX16/'Anexo '!$H$23</f>
        <v>4794597.1226363964</v>
      </c>
      <c r="AY16" s="28">
        <f>PROGRAMADO!AY16/'Anexo '!$I$23</f>
        <v>0</v>
      </c>
      <c r="AZ16" s="28">
        <f>PROGRAMADO!AZ16/'Anexo '!$I$23</f>
        <v>106081.13887400518</v>
      </c>
      <c r="BA16" s="28">
        <f>PROGRAMADO!BA16/'Anexo '!$I$23</f>
        <v>106081.13887400518</v>
      </c>
      <c r="BB16" s="28">
        <f>PROGRAMADO!BB16/'Anexo '!$I$23</f>
        <v>0</v>
      </c>
      <c r="BC16" s="28">
        <f>PROGRAMADO!BC16/'Anexo '!$I$23</f>
        <v>773212.37385033595</v>
      </c>
      <c r="BD16" s="28">
        <f>PROGRAMADO!BD16/'Anexo '!$I$23</f>
        <v>773212.37385033595</v>
      </c>
      <c r="BE16" s="28">
        <f>PROGRAMADO!BE16/'Anexo '!$I$23</f>
        <v>879293.51272434113</v>
      </c>
      <c r="BF16" s="28">
        <f>PROGRAMADO!BF16/'Anexo '!$J$23</f>
        <v>0</v>
      </c>
      <c r="BG16" s="28">
        <f>PROGRAMADO!BG16/'Anexo '!$J$23</f>
        <v>71688.065404281617</v>
      </c>
      <c r="BH16" s="28">
        <f>PROGRAMADO!BH16/'Anexo '!$J$23</f>
        <v>71688.065404281617</v>
      </c>
      <c r="BI16" s="28">
        <f>PROGRAMADO!BI16/'Anexo '!$J$23</f>
        <v>0</v>
      </c>
      <c r="BJ16" s="28">
        <f>PROGRAMADO!BJ16/'Anexo '!$J$23</f>
        <v>1377666.1796932067</v>
      </c>
      <c r="BK16" s="28">
        <f>PROGRAMADO!BK16/'Anexo '!$J$23</f>
        <v>1377666.1796932067</v>
      </c>
      <c r="BL16" s="28">
        <f>PROGRAMADO!BL16/'Anexo '!$J$23</f>
        <v>1449354.2450974884</v>
      </c>
      <c r="BM16" s="28">
        <f>PROGRAMADO!BM16/'Anexo '!$K$23</f>
        <v>0</v>
      </c>
      <c r="BN16" s="28">
        <f>PROGRAMADO!BN16/'Anexo '!$K$23</f>
        <v>40135.032085728431</v>
      </c>
      <c r="BO16" s="28">
        <f>PROGRAMADO!BO16/'Anexo '!$K$23</f>
        <v>40135.032085728431</v>
      </c>
      <c r="BP16" s="28">
        <f>PROGRAMADO!BP16/'Anexo '!$K$23</f>
        <v>0</v>
      </c>
      <c r="BQ16" s="28">
        <f>PROGRAMADO!BQ16/'Anexo '!$K$23</f>
        <v>655639.23957492551</v>
      </c>
      <c r="BR16" s="28">
        <f>PROGRAMADO!BR16/'Anexo '!$K$23</f>
        <v>655639.23957492551</v>
      </c>
      <c r="BS16" s="28">
        <f>PROGRAMADO!BS16/'Anexo '!$K$23</f>
        <v>695774.27166065387</v>
      </c>
      <c r="BT16" s="28">
        <f>PROGRAMADO!BT16/'Anexo '!$L$23</f>
        <v>0</v>
      </c>
      <c r="BU16" s="28">
        <f>PROGRAMADO!BU16/'Anexo '!$L$23</f>
        <v>124473.06841298356</v>
      </c>
      <c r="BV16" s="28">
        <f>PROGRAMADO!BV16/'Anexo '!$L$23</f>
        <v>0</v>
      </c>
      <c r="BW16" s="28">
        <f>PROGRAMADO!BW16/'Anexo '!$L$23</f>
        <v>124473.06841298356</v>
      </c>
      <c r="BX16" s="28">
        <f>PROGRAMADO!BX16/'Anexo '!$L$23</f>
        <v>0</v>
      </c>
      <c r="BY16" s="28">
        <f>PROGRAMADO!BY16/'Anexo '!$L$23</f>
        <v>870419.20948583027</v>
      </c>
      <c r="BZ16" s="28">
        <f>PROGRAMADO!BZ16/'Anexo '!$L$23</f>
        <v>870419.20948583027</v>
      </c>
      <c r="CA16" s="28">
        <f>PROGRAMADO!CA16/'Anexo '!$L$23</f>
        <v>994892.27789881383</v>
      </c>
      <c r="CB16" s="28">
        <f>PROGRAMADO!CB16/'Anexo '!$M$23</f>
        <v>0</v>
      </c>
      <c r="CC16" s="28">
        <f>PROGRAMADO!CC16/'Anexo '!$M$23</f>
        <v>0</v>
      </c>
      <c r="CD16" s="28">
        <f>PROGRAMADO!CD16/'Anexo '!$M$23</f>
        <v>0</v>
      </c>
      <c r="CE16" s="28">
        <f>PROGRAMADO!CE16/'Anexo '!$M$23</f>
        <v>0</v>
      </c>
      <c r="CF16" s="28">
        <f>PROGRAMADO!CF16/'Anexo '!$M$23</f>
        <v>0</v>
      </c>
      <c r="CG16" s="28">
        <f>PROGRAMADO!CG16/'Anexo '!$M$23</f>
        <v>2495529.4249419249</v>
      </c>
      <c r="CH16" s="28">
        <f>PROGRAMADO!CH16/'Anexo '!$M$23</f>
        <v>2495529.4249419249</v>
      </c>
      <c r="CI16" s="29">
        <f>PROGRAMADO!CI16/'Anexo '!$M$23</f>
        <v>2495529.4249419249</v>
      </c>
    </row>
    <row r="17" spans="1:87" x14ac:dyDescent="0.25">
      <c r="A17" s="15" t="s">
        <v>8</v>
      </c>
      <c r="B17" s="27">
        <f>PROGRAMADO!B17/'Anexo '!$B$23</f>
        <v>0</v>
      </c>
      <c r="C17" s="28">
        <f>PROGRAMADO!C17/'Anexo '!$B$23</f>
        <v>5772822.2688456485</v>
      </c>
      <c r="D17" s="28">
        <f>PROGRAMADO!D17/'Anexo '!$B$23</f>
        <v>5772822.2688456485</v>
      </c>
      <c r="E17" s="28">
        <f>PROGRAMADO!E17/'Anexo '!$B$23</f>
        <v>0</v>
      </c>
      <c r="F17" s="28">
        <f>PROGRAMADO!F17/'Anexo '!$B$23</f>
        <v>2989200.9851732822</v>
      </c>
      <c r="G17" s="28">
        <f>PROGRAMADO!G17/'Anexo '!$B$23</f>
        <v>2989200.9851732822</v>
      </c>
      <c r="H17" s="28">
        <f>PROGRAMADO!H17/'Anexo '!$B$23</f>
        <v>8762023.2540189307</v>
      </c>
      <c r="I17" s="28">
        <f>PROGRAMADO!I17/'Anexo '!$C$23</f>
        <v>0</v>
      </c>
      <c r="J17" s="28">
        <f>PROGRAMADO!J17/'Anexo '!$C$23</f>
        <v>4959207.7530053481</v>
      </c>
      <c r="K17" s="28">
        <f>PROGRAMADO!K17/'Anexo '!$C$23</f>
        <v>4959207.7530053481</v>
      </c>
      <c r="L17" s="28">
        <f>PROGRAMADO!L17/'Anexo '!$C$23</f>
        <v>0</v>
      </c>
      <c r="M17" s="28">
        <f>PROGRAMADO!M17/'Anexo '!$C$23</f>
        <v>3812953.4501932953</v>
      </c>
      <c r="N17" s="28">
        <f>PROGRAMADO!N17/'Anexo '!$C$23</f>
        <v>3812953.4501932953</v>
      </c>
      <c r="O17" s="28">
        <f>PROGRAMADO!O17/'Anexo '!$C$23</f>
        <v>8772161.2031986434</v>
      </c>
      <c r="P17" s="28">
        <f>PROGRAMADO!P17/'Anexo '!$D$23</f>
        <v>0</v>
      </c>
      <c r="Q17" s="28">
        <f>PROGRAMADO!Q17/'Anexo '!$D$23</f>
        <v>18817901.96582859</v>
      </c>
      <c r="R17" s="28">
        <f>PROGRAMADO!R17/'Anexo '!$D$23</f>
        <v>18817901.96582859</v>
      </c>
      <c r="S17" s="28">
        <f>PROGRAMADO!S17/'Anexo '!$D$23</f>
        <v>0</v>
      </c>
      <c r="T17" s="28">
        <f>PROGRAMADO!T17/'Anexo '!$D$23</f>
        <v>3238890.8409831026</v>
      </c>
      <c r="U17" s="28">
        <f>PROGRAMADO!U17/'Anexo '!$D$23</f>
        <v>3238890.8409831026</v>
      </c>
      <c r="V17" s="28">
        <f>PROGRAMADO!V17/'Anexo '!$D$23</f>
        <v>22056792.806811694</v>
      </c>
      <c r="W17" s="28">
        <f>PROGRAMADO!W17/'Anexo '!$E$23</f>
        <v>0</v>
      </c>
      <c r="X17" s="28">
        <f>PROGRAMADO!X17/'Anexo '!$E$23</f>
        <v>35001140.659642749</v>
      </c>
      <c r="Y17" s="28">
        <f>PROGRAMADO!Y17/'Anexo '!$E$23</f>
        <v>35001140.659642749</v>
      </c>
      <c r="Z17" s="28">
        <f>PROGRAMADO!Z17/'Anexo '!$E$23</f>
        <v>0</v>
      </c>
      <c r="AA17" s="28">
        <f>PROGRAMADO!AA17/'Anexo '!$E$23</f>
        <v>0</v>
      </c>
      <c r="AB17" s="28">
        <f>PROGRAMADO!AB17/'Anexo '!$E$23</f>
        <v>0</v>
      </c>
      <c r="AC17" s="28">
        <f>PROGRAMADO!AC17/'Anexo '!$E$23</f>
        <v>35001140.659642749</v>
      </c>
      <c r="AD17" s="28">
        <f>PROGRAMADO!AD17/'Anexo '!$F$23</f>
        <v>0</v>
      </c>
      <c r="AE17" s="28">
        <f>PROGRAMADO!AE17/'Anexo '!$F$23</f>
        <v>40291958.736482643</v>
      </c>
      <c r="AF17" s="28">
        <f>PROGRAMADO!AF17/'Anexo '!$F$23</f>
        <v>40291958.736482643</v>
      </c>
      <c r="AG17" s="28">
        <f>PROGRAMADO!AG17/'Anexo '!$F$23</f>
        <v>4741246.4428002276</v>
      </c>
      <c r="AH17" s="28">
        <f>PROGRAMADO!AH17/'Anexo '!$F$23</f>
        <v>0</v>
      </c>
      <c r="AI17" s="28">
        <f>PROGRAMADO!AI17/'Anexo '!$F$23</f>
        <v>4741246.4428002276</v>
      </c>
      <c r="AJ17" s="28">
        <f>PROGRAMADO!AJ17/'Anexo '!$F$23</f>
        <v>45033205.179282866</v>
      </c>
      <c r="AK17" s="28">
        <f>PROGRAMADO!AK17/'Anexo '!$G$23</f>
        <v>0</v>
      </c>
      <c r="AL17" s="28">
        <f>PROGRAMADO!AL17/'Anexo '!$G$23</f>
        <v>54127426.186410822</v>
      </c>
      <c r="AM17" s="28">
        <f>PROGRAMADO!AM17/'Anexo '!$G$23</f>
        <v>54127426.186410822</v>
      </c>
      <c r="AN17" s="28">
        <f>PROGRAMADO!AN17/'Anexo '!$G$23</f>
        <v>1014297.8561942705</v>
      </c>
      <c r="AO17" s="28">
        <f>PROGRAMADO!AO17/'Anexo '!$G$23</f>
        <v>0</v>
      </c>
      <c r="AP17" s="28">
        <f>PROGRAMADO!AP17/'Anexo '!$G$23</f>
        <v>1014297.8561942705</v>
      </c>
      <c r="AQ17" s="28">
        <f>PROGRAMADO!AQ17/'Anexo '!$G$23</f>
        <v>55141724.042605095</v>
      </c>
      <c r="AR17" s="28">
        <f>PROGRAMADO!AR17/'Anexo '!$H$23</f>
        <v>0</v>
      </c>
      <c r="AS17" s="28">
        <f>PROGRAMADO!AS17/'Anexo '!$H$23</f>
        <v>68471140.724451393</v>
      </c>
      <c r="AT17" s="28">
        <f>PROGRAMADO!AT17/'Anexo '!$H$23</f>
        <v>68471140.724451393</v>
      </c>
      <c r="AU17" s="28">
        <f>PROGRAMADO!AU17/'Anexo '!$H$23</f>
        <v>0</v>
      </c>
      <c r="AV17" s="28">
        <f>PROGRAMADO!AV17/'Anexo '!$H$23</f>
        <v>0</v>
      </c>
      <c r="AW17" s="28">
        <f>PROGRAMADO!AW17/'Anexo '!$H$23</f>
        <v>0</v>
      </c>
      <c r="AX17" s="28">
        <f>PROGRAMADO!AX17/'Anexo '!$H$23</f>
        <v>68471140.724451393</v>
      </c>
      <c r="AY17" s="28">
        <f>PROGRAMADO!AY17/'Anexo '!$I$23</f>
        <v>0</v>
      </c>
      <c r="AZ17" s="28">
        <f>PROGRAMADO!AZ17/'Anexo '!$I$23</f>
        <v>73774112.048921242</v>
      </c>
      <c r="BA17" s="28">
        <f>PROGRAMADO!BA17/'Anexo '!$I$23</f>
        <v>73774112.048921242</v>
      </c>
      <c r="BB17" s="28">
        <f>PROGRAMADO!BB17/'Anexo '!$I$23</f>
        <v>0</v>
      </c>
      <c r="BC17" s="28">
        <f>PROGRAMADO!BC17/'Anexo '!$I$23</f>
        <v>0</v>
      </c>
      <c r="BD17" s="28">
        <f>PROGRAMADO!BD17/'Anexo '!$I$23</f>
        <v>0</v>
      </c>
      <c r="BE17" s="28">
        <f>PROGRAMADO!BE17/'Anexo '!$I$23</f>
        <v>73774112.048921242</v>
      </c>
      <c r="BF17" s="28">
        <f>PROGRAMADO!BF17/'Anexo '!$J$23</f>
        <v>0</v>
      </c>
      <c r="BG17" s="28">
        <f>PROGRAMADO!BG17/'Anexo '!$J$23</f>
        <v>88280473.815811649</v>
      </c>
      <c r="BH17" s="28">
        <f>PROGRAMADO!BH17/'Anexo '!$J$23</f>
        <v>88280473.815811649</v>
      </c>
      <c r="BI17" s="28">
        <f>PROGRAMADO!BI17/'Anexo '!$J$23</f>
        <v>0</v>
      </c>
      <c r="BJ17" s="28">
        <f>PROGRAMADO!BJ17/'Anexo '!$J$23</f>
        <v>0</v>
      </c>
      <c r="BK17" s="28">
        <f>PROGRAMADO!BK17/'Anexo '!$J$23</f>
        <v>0</v>
      </c>
      <c r="BL17" s="28">
        <f>PROGRAMADO!BL17/'Anexo '!$J$23</f>
        <v>88280473.815811649</v>
      </c>
      <c r="BM17" s="28">
        <f>PROGRAMADO!BM17/'Anexo '!$K$23</f>
        <v>0</v>
      </c>
      <c r="BN17" s="28">
        <f>PROGRAMADO!BN17/'Anexo '!$K$23</f>
        <v>100820472.96905589</v>
      </c>
      <c r="BO17" s="28">
        <f>PROGRAMADO!BO17/'Anexo '!$K$23</f>
        <v>100820472.96905589</v>
      </c>
      <c r="BP17" s="28">
        <f>PROGRAMADO!BP17/'Anexo '!$K$23</f>
        <v>0</v>
      </c>
      <c r="BQ17" s="28">
        <f>PROGRAMADO!BQ17/'Anexo '!$K$23</f>
        <v>0</v>
      </c>
      <c r="BR17" s="28">
        <f>PROGRAMADO!BR17/'Anexo '!$K$23</f>
        <v>0</v>
      </c>
      <c r="BS17" s="28">
        <f>PROGRAMADO!BS17/'Anexo '!$K$23</f>
        <v>100820472.96905589</v>
      </c>
      <c r="BT17" s="28">
        <f>PROGRAMADO!BT17/'Anexo '!$L$23</f>
        <v>0</v>
      </c>
      <c r="BU17" s="28">
        <f>PROGRAMADO!BU17/'Anexo '!$L$23</f>
        <v>126581503.56525542</v>
      </c>
      <c r="BV17" s="28">
        <f>PROGRAMADO!BV17/'Anexo '!$L$23</f>
        <v>0</v>
      </c>
      <c r="BW17" s="28">
        <f>PROGRAMADO!BW17/'Anexo '!$L$23</f>
        <v>126581503.56525542</v>
      </c>
      <c r="BX17" s="28">
        <f>PROGRAMADO!BX17/'Anexo '!$L$23</f>
        <v>0</v>
      </c>
      <c r="BY17" s="28">
        <f>PROGRAMADO!BY17/'Anexo '!$L$23</f>
        <v>0</v>
      </c>
      <c r="BZ17" s="28">
        <f>PROGRAMADO!BZ17/'Anexo '!$L$23</f>
        <v>0</v>
      </c>
      <c r="CA17" s="28">
        <f>PROGRAMADO!CA17/'Anexo '!$L$23</f>
        <v>126581503.56525542</v>
      </c>
      <c r="CB17" s="28">
        <f>PROGRAMADO!CB17/'Anexo '!$M$23</f>
        <v>0</v>
      </c>
      <c r="CC17" s="28">
        <f>PROGRAMADO!CC17/'Anexo '!$M$23</f>
        <v>135469674.88101715</v>
      </c>
      <c r="CD17" s="28">
        <f>PROGRAMADO!CD17/'Anexo '!$M$23</f>
        <v>0</v>
      </c>
      <c r="CE17" s="28">
        <f>PROGRAMADO!CE17/'Anexo '!$M$23</f>
        <v>135469674.88101715</v>
      </c>
      <c r="CF17" s="28">
        <f>PROGRAMADO!CF17/'Anexo '!$M$23</f>
        <v>0</v>
      </c>
      <c r="CG17" s="28">
        <f>PROGRAMADO!CG17/'Anexo '!$M$23</f>
        <v>0</v>
      </c>
      <c r="CH17" s="28">
        <f>PROGRAMADO!CH17/'Anexo '!$M$23</f>
        <v>0</v>
      </c>
      <c r="CI17" s="29">
        <f>PROGRAMADO!CI17/'Anexo '!$M$23</f>
        <v>135469674.88101715</v>
      </c>
    </row>
    <row r="18" spans="1:87" x14ac:dyDescent="0.25">
      <c r="A18" s="15" t="s">
        <v>9</v>
      </c>
      <c r="B18" s="27">
        <f>PROGRAMADO!B18/'Anexo '!$B$23</f>
        <v>0</v>
      </c>
      <c r="C18" s="28">
        <f>PROGRAMADO!C18/'Anexo '!$B$23</f>
        <v>2446977.959905412</v>
      </c>
      <c r="D18" s="28">
        <f>PROGRAMADO!D18/'Anexo '!$B$23</f>
        <v>2446977.959905412</v>
      </c>
      <c r="E18" s="28">
        <f>PROGRAMADO!E18/'Anexo '!$B$23</f>
        <v>6304889.5188509114</v>
      </c>
      <c r="F18" s="28">
        <f>PROGRAMADO!F18/'Anexo '!$B$23</f>
        <v>5524835.8395374455</v>
      </c>
      <c r="G18" s="28">
        <f>PROGRAMADO!G18/'Anexo '!$B$23</f>
        <v>11829725.358388357</v>
      </c>
      <c r="H18" s="28">
        <f>PROGRAMADO!H18/'Anexo '!$B$23</f>
        <v>14276703.318293769</v>
      </c>
      <c r="I18" s="28">
        <f>PROGRAMADO!I18/'Anexo '!$C$23</f>
        <v>0</v>
      </c>
      <c r="J18" s="28">
        <f>PROGRAMADO!J18/'Anexo '!$C$23</f>
        <v>2929033.2574273152</v>
      </c>
      <c r="K18" s="28">
        <f>PROGRAMADO!K18/'Anexo '!$C$23</f>
        <v>2929033.2574273152</v>
      </c>
      <c r="L18" s="28">
        <f>PROGRAMADO!L18/'Anexo '!$C$23</f>
        <v>9130124.7100566626</v>
      </c>
      <c r="M18" s="28">
        <f>PROGRAMADO!M18/'Anexo '!$C$23</f>
        <v>6258862.7336757928</v>
      </c>
      <c r="N18" s="28">
        <f>PROGRAMADO!N18/'Anexo '!$C$23</f>
        <v>15388987.443732455</v>
      </c>
      <c r="O18" s="28">
        <f>PROGRAMADO!O18/'Anexo '!$C$23</f>
        <v>18318020.701159775</v>
      </c>
      <c r="P18" s="28">
        <f>PROGRAMADO!P18/'Anexo '!$D$23</f>
        <v>0</v>
      </c>
      <c r="Q18" s="28">
        <f>PROGRAMADO!Q18/'Anexo '!$D$23</f>
        <v>2870681.7340452899</v>
      </c>
      <c r="R18" s="28">
        <f>PROGRAMADO!R18/'Anexo '!$D$23</f>
        <v>2870681.7340452899</v>
      </c>
      <c r="S18" s="28">
        <f>PROGRAMADO!S18/'Anexo '!$D$23</f>
        <v>10083610.774723448</v>
      </c>
      <c r="T18" s="28">
        <f>PROGRAMADO!T18/'Anexo '!$D$23</f>
        <v>4811585.6512709176</v>
      </c>
      <c r="U18" s="28">
        <f>PROGRAMADO!U18/'Anexo '!$D$23</f>
        <v>14895196.425994365</v>
      </c>
      <c r="V18" s="28">
        <f>PROGRAMADO!V18/'Anexo '!$D$23</f>
        <v>17765878.160039656</v>
      </c>
      <c r="W18" s="28">
        <f>PROGRAMADO!W18/'Anexo '!$E$23</f>
        <v>0</v>
      </c>
      <c r="X18" s="28">
        <f>PROGRAMADO!X18/'Anexo '!$E$23</f>
        <v>3838390.6940053664</v>
      </c>
      <c r="Y18" s="28">
        <f>PROGRAMADO!Y18/'Anexo '!$E$23</f>
        <v>3838390.6940053664</v>
      </c>
      <c r="Z18" s="28">
        <f>PROGRAMADO!Z18/'Anexo '!$E$23</f>
        <v>8900820.2207574118</v>
      </c>
      <c r="AA18" s="28">
        <f>PROGRAMADO!AA18/'Anexo '!$E$23</f>
        <v>4196443.2598471316</v>
      </c>
      <c r="AB18" s="28">
        <f>PROGRAMADO!AB18/'Anexo '!$E$23</f>
        <v>13097263.480604542</v>
      </c>
      <c r="AC18" s="28">
        <f>PROGRAMADO!AC18/'Anexo '!$E$23</f>
        <v>16935654.174609911</v>
      </c>
      <c r="AD18" s="28">
        <f>PROGRAMADO!AD18/'Anexo '!$F$23</f>
        <v>0</v>
      </c>
      <c r="AE18" s="28">
        <f>PROGRAMADO!AE18/'Anexo '!$F$23</f>
        <v>2551782.0717131472</v>
      </c>
      <c r="AF18" s="28">
        <f>PROGRAMADO!AF18/'Anexo '!$F$23</f>
        <v>2551782.0717131472</v>
      </c>
      <c r="AG18" s="28">
        <f>PROGRAMADO!AG18/'Anexo '!$F$23</f>
        <v>18983805.008537278</v>
      </c>
      <c r="AH18" s="28">
        <f>PROGRAMADO!AH18/'Anexo '!$F$23</f>
        <v>5667132.7831531018</v>
      </c>
      <c r="AI18" s="28">
        <f>PROGRAMADO!AI18/'Anexo '!$F$23</f>
        <v>24650937.791690379</v>
      </c>
      <c r="AJ18" s="28">
        <f>PROGRAMADO!AJ18/'Anexo '!$F$23</f>
        <v>27202719.863403529</v>
      </c>
      <c r="AK18" s="28">
        <f>PROGRAMADO!AK18/'Anexo '!$G$23</f>
        <v>0</v>
      </c>
      <c r="AL18" s="28">
        <f>PROGRAMADO!AL18/'Anexo '!$G$23</f>
        <v>2163996.2056535762</v>
      </c>
      <c r="AM18" s="28">
        <f>PROGRAMADO!AM18/'Anexo '!$G$23</f>
        <v>2163996.2056535762</v>
      </c>
      <c r="AN18" s="28">
        <f>PROGRAMADO!AN18/'Anexo '!$G$23</f>
        <v>25428883.540667266</v>
      </c>
      <c r="AO18" s="28">
        <f>PROGRAMADO!AO18/'Anexo '!$G$23</f>
        <v>8961433.1788492296</v>
      </c>
      <c r="AP18" s="28">
        <f>PROGRAMADO!AP18/'Anexo '!$G$23</f>
        <v>34390316.719516493</v>
      </c>
      <c r="AQ18" s="28">
        <f>PROGRAMADO!AQ18/'Anexo '!$G$23</f>
        <v>36554312.925170071</v>
      </c>
      <c r="AR18" s="28">
        <f>PROGRAMADO!AR18/'Anexo '!$H$23</f>
        <v>0</v>
      </c>
      <c r="AS18" s="28">
        <f>PROGRAMADO!AS18/'Anexo '!$H$23</f>
        <v>681861.71722959541</v>
      </c>
      <c r="AT18" s="28">
        <f>PROGRAMADO!AT18/'Anexo '!$H$23</f>
        <v>681861.71722959541</v>
      </c>
      <c r="AU18" s="28">
        <f>PROGRAMADO!AU18/'Anexo '!$H$23</f>
        <v>18366180.395314865</v>
      </c>
      <c r="AV18" s="28">
        <f>PROGRAMADO!AV18/'Anexo '!$H$23</f>
        <v>8471135.5623351354</v>
      </c>
      <c r="AW18" s="28">
        <f>PROGRAMADO!AW18/'Anexo '!$H$23</f>
        <v>26837315.957650002</v>
      </c>
      <c r="AX18" s="28">
        <f>PROGRAMADO!AX18/'Anexo '!$H$23</f>
        <v>27519177.674879592</v>
      </c>
      <c r="AY18" s="28">
        <f>PROGRAMADO!AY18/'Anexo '!$I$23</f>
        <v>0</v>
      </c>
      <c r="AZ18" s="28">
        <f>PROGRAMADO!AZ18/'Anexo '!$I$23</f>
        <v>0</v>
      </c>
      <c r="BA18" s="28">
        <f>PROGRAMADO!BA18/'Anexo '!$I$23</f>
        <v>0</v>
      </c>
      <c r="BB18" s="28">
        <f>PROGRAMADO!BB18/'Anexo '!$I$23</f>
        <v>63904.359752051081</v>
      </c>
      <c r="BC18" s="28">
        <f>PROGRAMADO!BC18/'Anexo '!$I$23</f>
        <v>546227.82395823603</v>
      </c>
      <c r="BD18" s="28">
        <f>PROGRAMADO!BD18/'Anexo '!$I$23</f>
        <v>610132.18371028709</v>
      </c>
      <c r="BE18" s="28">
        <f>PROGRAMADO!BE18/'Anexo '!$I$23</f>
        <v>610132.18371028709</v>
      </c>
      <c r="BF18" s="28">
        <f>PROGRAMADO!BF18/'Anexo '!$J$23</f>
        <v>0</v>
      </c>
      <c r="BG18" s="28">
        <f>PROGRAMADO!BG18/'Anexo '!$J$23</f>
        <v>0</v>
      </c>
      <c r="BH18" s="28">
        <f>PROGRAMADO!BH18/'Anexo '!$J$23</f>
        <v>0</v>
      </c>
      <c r="BI18" s="28">
        <f>PROGRAMADO!BI18/'Anexo '!$J$23</f>
        <v>0</v>
      </c>
      <c r="BJ18" s="28">
        <f>PROGRAMADO!BJ18/'Anexo '!$J$23</f>
        <v>1218945.4683373603</v>
      </c>
      <c r="BK18" s="28">
        <f>PROGRAMADO!BK18/'Anexo '!$J$23</f>
        <v>1218945.4683373603</v>
      </c>
      <c r="BL18" s="28">
        <f>PROGRAMADO!BL18/'Anexo '!$J$23</f>
        <v>1218945.4683373603</v>
      </c>
      <c r="BM18" s="28">
        <f>PROGRAMADO!BM18/'Anexo '!$K$23</f>
        <v>0</v>
      </c>
      <c r="BN18" s="28">
        <f>PROGRAMADO!BN18/'Anexo '!$K$23</f>
        <v>0</v>
      </c>
      <c r="BO18" s="28">
        <f>PROGRAMADO!BO18/'Anexo '!$K$23</f>
        <v>0</v>
      </c>
      <c r="BP18" s="28">
        <f>PROGRAMADO!BP18/'Anexo '!$K$23</f>
        <v>4994.5817706684265</v>
      </c>
      <c r="BQ18" s="28">
        <f>PROGRAMADO!BQ18/'Anexo '!$K$23</f>
        <v>0</v>
      </c>
      <c r="BR18" s="28">
        <f>PROGRAMADO!BR18/'Anexo '!$K$23</f>
        <v>4994.5817706684265</v>
      </c>
      <c r="BS18" s="28">
        <f>PROGRAMADO!BS18/'Anexo '!$K$23</f>
        <v>4994.5817706684265</v>
      </c>
      <c r="BT18" s="28">
        <f>PROGRAMADO!BT18/'Anexo '!$L$23</f>
        <v>0</v>
      </c>
      <c r="BU18" s="28">
        <f>PROGRAMADO!BU18/'Anexo '!$L$23</f>
        <v>0</v>
      </c>
      <c r="BV18" s="28">
        <f>PROGRAMADO!BV18/'Anexo '!$L$23</f>
        <v>0</v>
      </c>
      <c r="BW18" s="28">
        <f>PROGRAMADO!BW18/'Anexo '!$L$23</f>
        <v>0</v>
      </c>
      <c r="BX18" s="28">
        <f>PROGRAMADO!BX18/'Anexo '!$L$23</f>
        <v>284079.4676111727</v>
      </c>
      <c r="BY18" s="28">
        <f>PROGRAMADO!BY18/'Anexo '!$L$23</f>
        <v>269549.44854268327</v>
      </c>
      <c r="BZ18" s="28">
        <f>PROGRAMADO!BZ18/'Anexo '!$L$23</f>
        <v>553628.91615385597</v>
      </c>
      <c r="CA18" s="28">
        <f>PROGRAMADO!CA18/'Anexo '!$L$23</f>
        <v>553628.91615385597</v>
      </c>
      <c r="CB18" s="28">
        <f>PROGRAMADO!CB18/'Anexo '!$M$23</f>
        <v>0</v>
      </c>
      <c r="CC18" s="28">
        <f>PROGRAMADO!CC18/'Anexo '!$M$23</f>
        <v>0</v>
      </c>
      <c r="CD18" s="28">
        <f>PROGRAMADO!CD18/'Anexo '!$M$23</f>
        <v>0</v>
      </c>
      <c r="CE18" s="28">
        <f>PROGRAMADO!CE18/'Anexo '!$M$23</f>
        <v>0</v>
      </c>
      <c r="CF18" s="28">
        <f>PROGRAMADO!CF18/'Anexo '!$M$23</f>
        <v>398326.32023721549</v>
      </c>
      <c r="CG18" s="28">
        <f>PROGRAMADO!CG18/'Anexo '!$M$23</f>
        <v>424062.51403795258</v>
      </c>
      <c r="CH18" s="28">
        <f>PROGRAMADO!CH18/'Anexo '!$M$23</f>
        <v>822388.83427516813</v>
      </c>
      <c r="CI18" s="29">
        <f>PROGRAMADO!CI18/'Anexo '!$M$23</f>
        <v>822388.83427516813</v>
      </c>
    </row>
    <row r="19" spans="1:87" x14ac:dyDescent="0.25">
      <c r="A19" s="15" t="s">
        <v>10</v>
      </c>
      <c r="B19" s="27">
        <f>PROGRAMADO!B19/'Anexo '!$B$23</f>
        <v>0</v>
      </c>
      <c r="C19" s="28">
        <f>PROGRAMADO!C19/'Anexo '!$B$23</f>
        <v>1417414.4814858995</v>
      </c>
      <c r="D19" s="28">
        <f>PROGRAMADO!D19/'Anexo '!$B$23</f>
        <v>1417414.4814858995</v>
      </c>
      <c r="E19" s="28">
        <f>PROGRAMADO!E19/'Anexo '!$B$23</f>
        <v>5326882.4598457683</v>
      </c>
      <c r="F19" s="28">
        <f>PROGRAMADO!F19/'Anexo '!$B$23</f>
        <v>701690.37210640428</v>
      </c>
      <c r="G19" s="28">
        <f>PROGRAMADO!G19/'Anexo '!$B$23</f>
        <v>6028572.8319521723</v>
      </c>
      <c r="H19" s="28">
        <f>PROGRAMADO!H19/'Anexo '!$B$23</f>
        <v>7445987.3134380719</v>
      </c>
      <c r="I19" s="28">
        <f>PROGRAMADO!I19/'Anexo '!$C$23</f>
        <v>0</v>
      </c>
      <c r="J19" s="28">
        <f>PROGRAMADO!J19/'Anexo '!$C$23</f>
        <v>1450932.9820473441</v>
      </c>
      <c r="K19" s="28">
        <f>PROGRAMADO!K19/'Anexo '!$C$23</f>
        <v>1450932.9820473441</v>
      </c>
      <c r="L19" s="28">
        <f>PROGRAMADO!L19/'Anexo '!$C$23</f>
        <v>3626542.3926282898</v>
      </c>
      <c r="M19" s="28">
        <f>PROGRAMADO!M19/'Anexo '!$C$23</f>
        <v>1110453.3177990785</v>
      </c>
      <c r="N19" s="28">
        <f>PROGRAMADO!N19/'Anexo '!$C$23</f>
        <v>4736995.7104273681</v>
      </c>
      <c r="O19" s="28">
        <f>PROGRAMADO!O19/'Anexo '!$C$23</f>
        <v>6187928.6924747126</v>
      </c>
      <c r="P19" s="28">
        <f>PROGRAMADO!P19/'Anexo '!$D$23</f>
        <v>0</v>
      </c>
      <c r="Q19" s="28">
        <f>PROGRAMADO!Q19/'Anexo '!$D$23</f>
        <v>1426778.6889874695</v>
      </c>
      <c r="R19" s="28">
        <f>PROGRAMADO!R19/'Anexo '!$D$23</f>
        <v>1426778.6889874695</v>
      </c>
      <c r="S19" s="28">
        <f>PROGRAMADO!S19/'Anexo '!$D$23</f>
        <v>4097229.5181743456</v>
      </c>
      <c r="T19" s="28">
        <f>PROGRAMADO!T19/'Anexo '!$D$23</f>
        <v>2623719.1996134855</v>
      </c>
      <c r="U19" s="28">
        <f>PROGRAMADO!U19/'Anexo '!$D$23</f>
        <v>6720948.7177878311</v>
      </c>
      <c r="V19" s="28">
        <f>PROGRAMADO!V19/'Anexo '!$D$23</f>
        <v>8147727.4067753004</v>
      </c>
      <c r="W19" s="28">
        <f>PROGRAMADO!W19/'Anexo '!$E$23</f>
        <v>0</v>
      </c>
      <c r="X19" s="28">
        <f>PROGRAMADO!X19/'Anexo '!$E$23</f>
        <v>1449403.0466196148</v>
      </c>
      <c r="Y19" s="28">
        <f>PROGRAMADO!Y19/'Anexo '!$E$23</f>
        <v>1449403.0466196148</v>
      </c>
      <c r="Z19" s="28">
        <f>PROGRAMADO!Z19/'Anexo '!$E$23</f>
        <v>3997048.5797780473</v>
      </c>
      <c r="AA19" s="28">
        <f>PROGRAMADO!AA19/'Anexo '!$E$23</f>
        <v>2805939.3544608653</v>
      </c>
      <c r="AB19" s="28">
        <f>PROGRAMADO!AB19/'Anexo '!$E$23</f>
        <v>6802987.9342389125</v>
      </c>
      <c r="AC19" s="28">
        <f>PROGRAMADO!AC19/'Anexo '!$E$23</f>
        <v>8252390.9808585281</v>
      </c>
      <c r="AD19" s="28">
        <f>PROGRAMADO!AD19/'Anexo '!$F$23</f>
        <v>0</v>
      </c>
      <c r="AE19" s="28">
        <f>PROGRAMADO!AE19/'Anexo '!$F$23</f>
        <v>1296294.3653955606</v>
      </c>
      <c r="AF19" s="28">
        <f>PROGRAMADO!AF19/'Anexo '!$F$23</f>
        <v>1296294.3653955606</v>
      </c>
      <c r="AG19" s="28">
        <f>PROGRAMADO!AG19/'Anexo '!$F$23</f>
        <v>4784688.844621514</v>
      </c>
      <c r="AH19" s="28">
        <f>PROGRAMADO!AH19/'Anexo '!$F$23</f>
        <v>11259165.054069437</v>
      </c>
      <c r="AI19" s="28">
        <f>PROGRAMADO!AI19/'Anexo '!$F$23</f>
        <v>16043853.89869095</v>
      </c>
      <c r="AJ19" s="28">
        <f>PROGRAMADO!AJ19/'Anexo '!$F$23</f>
        <v>17340148.264086511</v>
      </c>
      <c r="AK19" s="28">
        <f>PROGRAMADO!AK19/'Anexo '!$G$23</f>
        <v>0</v>
      </c>
      <c r="AL19" s="28">
        <f>PROGRAMADO!AL19/'Anexo '!$G$23</f>
        <v>1239874.1361086268</v>
      </c>
      <c r="AM19" s="28">
        <f>PROGRAMADO!AM19/'Anexo '!$G$23</f>
        <v>1239874.1361086268</v>
      </c>
      <c r="AN19" s="28">
        <f>PROGRAMADO!AN19/'Anexo '!$G$23</f>
        <v>4512922.6224354282</v>
      </c>
      <c r="AO19" s="28">
        <f>PROGRAMADO!AO19/'Anexo '!$G$23</f>
        <v>5163349.269588314</v>
      </c>
      <c r="AP19" s="28">
        <f>PROGRAMADO!AP19/'Anexo '!$G$23</f>
        <v>9676271.8920237422</v>
      </c>
      <c r="AQ19" s="28">
        <f>PROGRAMADO!AQ19/'Anexo '!$G$23</f>
        <v>10916146.02813237</v>
      </c>
      <c r="AR19" s="28">
        <f>PROGRAMADO!AR19/'Anexo '!$H$23</f>
        <v>0</v>
      </c>
      <c r="AS19" s="28">
        <f>PROGRAMADO!AS19/'Anexo '!$H$23</f>
        <v>163571.71986227474</v>
      </c>
      <c r="AT19" s="28">
        <f>PROGRAMADO!AT19/'Anexo '!$H$23</f>
        <v>163571.71986227474</v>
      </c>
      <c r="AU19" s="28">
        <f>PROGRAMADO!AU19/'Anexo '!$H$23</f>
        <v>2609906.2043475341</v>
      </c>
      <c r="AV19" s="28">
        <f>PROGRAMADO!AV19/'Anexo '!$H$23</f>
        <v>1245113.8504741404</v>
      </c>
      <c r="AW19" s="28">
        <f>PROGRAMADO!AW19/'Anexo '!$H$23</f>
        <v>3855020.0548216747</v>
      </c>
      <c r="AX19" s="28">
        <f>PROGRAMADO!AX19/'Anexo '!$H$23</f>
        <v>4018591.7746839495</v>
      </c>
      <c r="AY19" s="28">
        <f>PROGRAMADO!AY19/'Anexo '!$I$23</f>
        <v>0</v>
      </c>
      <c r="AZ19" s="28">
        <f>PROGRAMADO!AZ19/'Anexo '!$I$23</f>
        <v>0</v>
      </c>
      <c r="BA19" s="28">
        <f>PROGRAMADO!BA19/'Anexo '!$I$23</f>
        <v>0</v>
      </c>
      <c r="BB19" s="28">
        <f>PROGRAMADO!BB19/'Anexo '!$I$23</f>
        <v>1066313.7999007024</v>
      </c>
      <c r="BC19" s="28">
        <f>PROGRAMADO!BC19/'Anexo '!$I$23</f>
        <v>0</v>
      </c>
      <c r="BD19" s="28">
        <f>PROGRAMADO!BD19/'Anexo '!$I$23</f>
        <v>1066313.7999007024</v>
      </c>
      <c r="BE19" s="28">
        <f>PROGRAMADO!BE19/'Anexo '!$I$23</f>
        <v>1066313.7999007024</v>
      </c>
      <c r="BF19" s="28">
        <f>PROGRAMADO!BF19/'Anexo '!$J$23</f>
        <v>0</v>
      </c>
      <c r="BG19" s="28">
        <f>PROGRAMADO!BG19/'Anexo '!$J$23</f>
        <v>0</v>
      </c>
      <c r="BH19" s="28">
        <f>PROGRAMADO!BH19/'Anexo '!$J$23</f>
        <v>0</v>
      </c>
      <c r="BI19" s="28">
        <f>PROGRAMADO!BI19/'Anexo '!$J$23</f>
        <v>404217.61158247641</v>
      </c>
      <c r="BJ19" s="28">
        <f>PROGRAMADO!BJ19/'Anexo '!$J$23</f>
        <v>0</v>
      </c>
      <c r="BK19" s="28">
        <f>PROGRAMADO!BK19/'Anexo '!$J$23</f>
        <v>404217.61158247641</v>
      </c>
      <c r="BL19" s="28">
        <f>PROGRAMADO!BL19/'Anexo '!$J$23</f>
        <v>404217.61158247641</v>
      </c>
      <c r="BM19" s="28">
        <f>PROGRAMADO!BM19/'Anexo '!$K$23</f>
        <v>0</v>
      </c>
      <c r="BN19" s="28">
        <f>PROGRAMADO!BN19/'Anexo '!$K$23</f>
        <v>0</v>
      </c>
      <c r="BO19" s="28">
        <f>PROGRAMADO!BO19/'Anexo '!$K$23</f>
        <v>0</v>
      </c>
      <c r="BP19" s="28">
        <f>PROGRAMADO!BP19/'Anexo '!$K$23</f>
        <v>366017.8913054142</v>
      </c>
      <c r="BQ19" s="28">
        <f>PROGRAMADO!BQ19/'Anexo '!$K$23</f>
        <v>9632.407700574824</v>
      </c>
      <c r="BR19" s="28">
        <f>PROGRAMADO!BR19/'Anexo '!$K$23</f>
        <v>375650.29900598904</v>
      </c>
      <c r="BS19" s="28">
        <f>PROGRAMADO!BS19/'Anexo '!$K$23</f>
        <v>375650.29900598904</v>
      </c>
      <c r="BT19" s="28">
        <f>PROGRAMADO!BT19/'Anexo '!$L$23</f>
        <v>0</v>
      </c>
      <c r="BU19" s="28">
        <f>PROGRAMADO!BU19/'Anexo '!$L$23</f>
        <v>0</v>
      </c>
      <c r="BV19" s="28">
        <f>PROGRAMADO!BV19/'Anexo '!$L$23</f>
        <v>0</v>
      </c>
      <c r="BW19" s="28">
        <f>PROGRAMADO!BW19/'Anexo '!$L$23</f>
        <v>0</v>
      </c>
      <c r="BX19" s="28">
        <f>PROGRAMADO!BX19/'Anexo '!$L$23</f>
        <v>733524.78266593616</v>
      </c>
      <c r="BY19" s="28">
        <f>PROGRAMADO!BY19/'Anexo '!$L$23</f>
        <v>991526.25208627956</v>
      </c>
      <c r="BZ19" s="28">
        <f>PROGRAMADO!BZ19/'Anexo '!$L$23</f>
        <v>1725051.034752216</v>
      </c>
      <c r="CA19" s="28">
        <f>PROGRAMADO!CA19/'Anexo '!$L$23</f>
        <v>1725051.034752216</v>
      </c>
      <c r="CB19" s="28">
        <f>PROGRAMADO!CB19/'Anexo '!$M$23</f>
        <v>0</v>
      </c>
      <c r="CC19" s="28">
        <f>PROGRAMADO!CC19/'Anexo '!$M$23</f>
        <v>0</v>
      </c>
      <c r="CD19" s="28">
        <f>PROGRAMADO!CD19/'Anexo '!$M$23</f>
        <v>29398.000305492555</v>
      </c>
      <c r="CE19" s="28">
        <f>PROGRAMADO!CE19/'Anexo '!$M$23</f>
        <v>29398.000305492555</v>
      </c>
      <c r="CF19" s="28">
        <f>PROGRAMADO!CF19/'Anexo '!$M$23</f>
        <v>1147465.8406195047</v>
      </c>
      <c r="CG19" s="28">
        <f>PROGRAMADO!CG19/'Anexo '!$M$23</f>
        <v>1592689.9777283787</v>
      </c>
      <c r="CH19" s="28">
        <f>PROGRAMADO!CH19/'Anexo '!$M$23</f>
        <v>2740155.8183478834</v>
      </c>
      <c r="CI19" s="29">
        <f>PROGRAMADO!CI19/'Anexo '!$M$23</f>
        <v>2769553.8186533758</v>
      </c>
    </row>
    <row r="20" spans="1:87" x14ac:dyDescent="0.25">
      <c r="A20" s="15" t="s">
        <v>11</v>
      </c>
      <c r="B20" s="27">
        <f>PROGRAMADO!B20/'Anexo '!$B$23</f>
        <v>0</v>
      </c>
      <c r="C20" s="28">
        <f>PROGRAMADO!C20/'Anexo '!$B$23</f>
        <v>888403.37372730905</v>
      </c>
      <c r="D20" s="28">
        <f>PROGRAMADO!D20/'Anexo '!$B$23</f>
        <v>888403.37372730905</v>
      </c>
      <c r="E20" s="28">
        <f>PROGRAMADO!E20/'Anexo '!$B$23</f>
        <v>1571811.6242027043</v>
      </c>
      <c r="F20" s="28">
        <f>PROGRAMADO!F20/'Anexo '!$B$23</f>
        <v>2102835.8184867348</v>
      </c>
      <c r="G20" s="28">
        <f>PROGRAMADO!G20/'Anexo '!$B$23</f>
        <v>3674647.4426894388</v>
      </c>
      <c r="H20" s="28">
        <f>PROGRAMADO!H20/'Anexo '!$B$23</f>
        <v>4563050.8164167479</v>
      </c>
      <c r="I20" s="28">
        <f>PROGRAMADO!I20/'Anexo '!$C$23</f>
        <v>0</v>
      </c>
      <c r="J20" s="28">
        <f>PROGRAMADO!J20/'Anexo '!$C$23</f>
        <v>1205090.4437854155</v>
      </c>
      <c r="K20" s="28">
        <f>PROGRAMADO!K20/'Anexo '!$C$23</f>
        <v>1205090.4437854155</v>
      </c>
      <c r="L20" s="28">
        <f>PROGRAMADO!L20/'Anexo '!$C$23</f>
        <v>1066850.8638722661</v>
      </c>
      <c r="M20" s="28">
        <f>PROGRAMADO!M20/'Anexo '!$C$23</f>
        <v>2536878.6315733725</v>
      </c>
      <c r="N20" s="28">
        <f>PROGRAMADO!N20/'Anexo '!$C$23</f>
        <v>3603729.4954456389</v>
      </c>
      <c r="O20" s="28">
        <f>PROGRAMADO!O20/'Anexo '!$C$23</f>
        <v>4808819.9392310539</v>
      </c>
      <c r="P20" s="28">
        <f>PROGRAMADO!P20/'Anexo '!$D$23</f>
        <v>0</v>
      </c>
      <c r="Q20" s="28">
        <f>PROGRAMADO!Q20/'Anexo '!$D$23</f>
        <v>791094.35098793393</v>
      </c>
      <c r="R20" s="28">
        <f>PROGRAMADO!R20/'Anexo '!$D$23</f>
        <v>791094.35098793393</v>
      </c>
      <c r="S20" s="28">
        <f>PROGRAMADO!S20/'Anexo '!$D$23</f>
        <v>1204228.2569820483</v>
      </c>
      <c r="T20" s="28">
        <f>PROGRAMADO!T20/'Anexo '!$D$23</f>
        <v>4297778.2309425054</v>
      </c>
      <c r="U20" s="28">
        <f>PROGRAMADO!U20/'Anexo '!$D$23</f>
        <v>5502006.4879245544</v>
      </c>
      <c r="V20" s="28">
        <f>PROGRAMADO!V20/'Anexo '!$D$23</f>
        <v>6293100.838912488</v>
      </c>
      <c r="W20" s="28">
        <f>PROGRAMADO!W20/'Anexo '!$E$23</f>
        <v>0</v>
      </c>
      <c r="X20" s="28">
        <f>PROGRAMADO!X20/'Anexo '!$E$23</f>
        <v>820312.96875093377</v>
      </c>
      <c r="Y20" s="28">
        <f>PROGRAMADO!Y20/'Anexo '!$E$23</f>
        <v>820312.96875093377</v>
      </c>
      <c r="Z20" s="28">
        <f>PROGRAMADO!Z20/'Anexo '!$E$23</f>
        <v>1458050.8925316585</v>
      </c>
      <c r="AA20" s="28">
        <f>PROGRAMADO!AA20/'Anexo '!$E$23</f>
        <v>4712035.282938811</v>
      </c>
      <c r="AB20" s="28">
        <f>PROGRAMADO!AB20/'Anexo '!$E$23</f>
        <v>6170086.1754704695</v>
      </c>
      <c r="AC20" s="28">
        <f>PROGRAMADO!AC20/'Anexo '!$E$23</f>
        <v>6990399.1442214027</v>
      </c>
      <c r="AD20" s="28">
        <f>PROGRAMADO!AD20/'Anexo '!$F$23</f>
        <v>0</v>
      </c>
      <c r="AE20" s="28">
        <f>PROGRAMADO!AE20/'Anexo '!$F$23</f>
        <v>613555.94763801934</v>
      </c>
      <c r="AF20" s="28">
        <f>PROGRAMADO!AF20/'Anexo '!$F$23</f>
        <v>613555.94763801934</v>
      </c>
      <c r="AG20" s="28">
        <f>PROGRAMADO!AG20/'Anexo '!$F$23</f>
        <v>4994592.1457029022</v>
      </c>
      <c r="AH20" s="28">
        <f>PROGRAMADO!AH20/'Anexo '!$F$23</f>
        <v>3673744.1092771776</v>
      </c>
      <c r="AI20" s="28">
        <f>PROGRAMADO!AI20/'Anexo '!$F$23</f>
        <v>8668336.2549800798</v>
      </c>
      <c r="AJ20" s="28">
        <f>PROGRAMADO!AJ20/'Anexo '!$F$23</f>
        <v>9281892.2026180997</v>
      </c>
      <c r="AK20" s="28">
        <f>PROGRAMADO!AK20/'Anexo '!$G$23</f>
        <v>0</v>
      </c>
      <c r="AL20" s="28">
        <f>PROGRAMADO!AL20/'Anexo '!$G$23</f>
        <v>545686.47857549391</v>
      </c>
      <c r="AM20" s="28">
        <f>PROGRAMADO!AM20/'Anexo '!$G$23</f>
        <v>545686.47857549391</v>
      </c>
      <c r="AN20" s="28">
        <f>PROGRAMADO!AN20/'Anexo '!$G$23</f>
        <v>4761605.171152126</v>
      </c>
      <c r="AO20" s="28">
        <f>PROGRAMADO!AO20/'Anexo '!$G$23</f>
        <v>1106677.7786811937</v>
      </c>
      <c r="AP20" s="28">
        <f>PROGRAMADO!AP20/'Anexo '!$G$23</f>
        <v>5868282.9498333205</v>
      </c>
      <c r="AQ20" s="28">
        <f>PROGRAMADO!AQ20/'Anexo '!$G$23</f>
        <v>6413969.4284088137</v>
      </c>
      <c r="AR20" s="28">
        <f>PROGRAMADO!AR20/'Anexo '!$H$23</f>
        <v>0</v>
      </c>
      <c r="AS20" s="28">
        <f>PROGRAMADO!AS20/'Anexo '!$H$23</f>
        <v>2266827.5182093652</v>
      </c>
      <c r="AT20" s="28">
        <f>PROGRAMADO!AT20/'Anexo '!$H$23</f>
        <v>2266827.5182093652</v>
      </c>
      <c r="AU20" s="28">
        <f>PROGRAMADO!AU20/'Anexo '!$H$23</f>
        <v>2232728.28168636</v>
      </c>
      <c r="AV20" s="28">
        <f>PROGRAMADO!AV20/'Anexo '!$H$23</f>
        <v>347822.25801289495</v>
      </c>
      <c r="AW20" s="28">
        <f>PROGRAMADO!AW20/'Anexo '!$H$23</f>
        <v>2580550.539699255</v>
      </c>
      <c r="AX20" s="28">
        <f>PROGRAMADO!AX20/'Anexo '!$H$23</f>
        <v>4847378.0579086198</v>
      </c>
      <c r="AY20" s="28">
        <f>PROGRAMADO!AY20/'Anexo '!$I$23</f>
        <v>0</v>
      </c>
      <c r="AZ20" s="28">
        <f>PROGRAMADO!AZ20/'Anexo '!$I$23</f>
        <v>0</v>
      </c>
      <c r="BA20" s="28">
        <f>PROGRAMADO!BA20/'Anexo '!$I$23</f>
        <v>0</v>
      </c>
      <c r="BB20" s="28">
        <f>PROGRAMADO!BB20/'Anexo '!$I$23</f>
        <v>0</v>
      </c>
      <c r="BC20" s="28">
        <f>PROGRAMADO!BC20/'Anexo '!$I$23</f>
        <v>20646.023919893429</v>
      </c>
      <c r="BD20" s="28">
        <f>PROGRAMADO!BD20/'Anexo '!$I$23</f>
        <v>20646.023919893429</v>
      </c>
      <c r="BE20" s="28">
        <f>PROGRAMADO!BE20/'Anexo '!$I$23</f>
        <v>20646.023919893429</v>
      </c>
      <c r="BF20" s="28">
        <f>PROGRAMADO!BF20/'Anexo '!$J$23</f>
        <v>0</v>
      </c>
      <c r="BG20" s="28">
        <f>PROGRAMADO!BG20/'Anexo '!$J$23</f>
        <v>0</v>
      </c>
      <c r="BH20" s="28">
        <f>PROGRAMADO!BH20/'Anexo '!$J$23</f>
        <v>0</v>
      </c>
      <c r="BI20" s="28">
        <f>PROGRAMADO!BI20/'Anexo '!$J$23</f>
        <v>123616.33983255604</v>
      </c>
      <c r="BJ20" s="28">
        <f>PROGRAMADO!BJ20/'Anexo '!$J$23</f>
        <v>21642.224344927046</v>
      </c>
      <c r="BK20" s="28">
        <f>PROGRAMADO!BK20/'Anexo '!$J$23</f>
        <v>145258.56417748309</v>
      </c>
      <c r="BL20" s="28">
        <f>PROGRAMADO!BL20/'Anexo '!$J$23</f>
        <v>145258.56417748309</v>
      </c>
      <c r="BM20" s="28">
        <f>PROGRAMADO!BM20/'Anexo '!$K$23</f>
        <v>0</v>
      </c>
      <c r="BN20" s="28">
        <f>PROGRAMADO!BN20/'Anexo '!$K$23</f>
        <v>0</v>
      </c>
      <c r="BO20" s="28">
        <f>PROGRAMADO!BO20/'Anexo '!$K$23</f>
        <v>0</v>
      </c>
      <c r="BP20" s="28">
        <f>PROGRAMADO!BP20/'Anexo '!$K$23</f>
        <v>867979.69167376473</v>
      </c>
      <c r="BQ20" s="28">
        <f>PROGRAMADO!BQ20/'Anexo '!$K$23</f>
        <v>114894.55635181478</v>
      </c>
      <c r="BR20" s="28">
        <f>PROGRAMADO!BR20/'Anexo '!$K$23</f>
        <v>982874.24802557949</v>
      </c>
      <c r="BS20" s="28">
        <f>PROGRAMADO!BS20/'Anexo '!$K$23</f>
        <v>982874.24802557949</v>
      </c>
      <c r="BT20" s="28">
        <f>PROGRAMADO!BT20/'Anexo '!$L$23</f>
        <v>0</v>
      </c>
      <c r="BU20" s="28">
        <f>PROGRAMADO!BU20/'Anexo '!$L$23</f>
        <v>0</v>
      </c>
      <c r="BV20" s="28">
        <f>PROGRAMADO!BV20/'Anexo '!$L$23</f>
        <v>0</v>
      </c>
      <c r="BW20" s="28">
        <f>PROGRAMADO!BW20/'Anexo '!$L$23</f>
        <v>0</v>
      </c>
      <c r="BX20" s="28">
        <f>PROGRAMADO!BX20/'Anexo '!$L$23</f>
        <v>0</v>
      </c>
      <c r="BY20" s="28">
        <f>PROGRAMADO!BY20/'Anexo '!$L$23</f>
        <v>307985.7474720449</v>
      </c>
      <c r="BZ20" s="28">
        <f>PROGRAMADO!BZ20/'Anexo '!$L$23</f>
        <v>307985.7474720449</v>
      </c>
      <c r="CA20" s="28">
        <f>PROGRAMADO!CA20/'Anexo '!$L$23</f>
        <v>307985.7474720449</v>
      </c>
      <c r="CB20" s="28">
        <f>PROGRAMADO!CB20/'Anexo '!$M$23</f>
        <v>0</v>
      </c>
      <c r="CC20" s="28">
        <f>PROGRAMADO!CC20/'Anexo '!$M$23</f>
        <v>202242.70986167141</v>
      </c>
      <c r="CD20" s="28">
        <f>PROGRAMADO!CD20/'Anexo '!$M$23</f>
        <v>0</v>
      </c>
      <c r="CE20" s="28">
        <f>PROGRAMADO!CE20/'Anexo '!$M$23</f>
        <v>202242.70986167141</v>
      </c>
      <c r="CF20" s="28">
        <f>PROGRAMADO!CF20/'Anexo '!$M$23</f>
        <v>0</v>
      </c>
      <c r="CG20" s="28">
        <f>PROGRAMADO!CG20/'Anexo '!$M$23</f>
        <v>359632.6382583509</v>
      </c>
      <c r="CH20" s="28">
        <f>PROGRAMADO!CH20/'Anexo '!$M$23</f>
        <v>359632.6382583509</v>
      </c>
      <c r="CI20" s="29">
        <f>PROGRAMADO!CI20/'Anexo '!$M$23</f>
        <v>561875.34812002233</v>
      </c>
    </row>
    <row r="21" spans="1:87" x14ac:dyDescent="0.25">
      <c r="A21" s="15" t="s">
        <v>12</v>
      </c>
      <c r="B21" s="27">
        <f>PROGRAMADO!B21/'Anexo '!$B$23</f>
        <v>0</v>
      </c>
      <c r="C21" s="28">
        <f>PROGRAMADO!C21/'Anexo '!$B$23</f>
        <v>3156997.6072358312</v>
      </c>
      <c r="D21" s="28">
        <f>PROGRAMADO!D21/'Anexo '!$B$23</f>
        <v>3156997.6072358312</v>
      </c>
      <c r="E21" s="28">
        <f>PROGRAMADO!E21/'Anexo '!$B$23</f>
        <v>9783729.0633135214</v>
      </c>
      <c r="F21" s="28">
        <f>PROGRAMADO!F21/'Anexo '!$B$23</f>
        <v>12919996.631886214</v>
      </c>
      <c r="G21" s="28">
        <f>PROGRAMADO!G21/'Anexo '!$B$23</f>
        <v>22703725.695199735</v>
      </c>
      <c r="H21" s="28">
        <f>PROGRAMADO!H21/'Anexo '!$B$23</f>
        <v>25860723.302435566</v>
      </c>
      <c r="I21" s="28">
        <f>PROGRAMADO!I21/'Anexo '!$C$23</f>
        <v>0</v>
      </c>
      <c r="J21" s="28">
        <f>PROGRAMADO!J21/'Anexo '!$C$23</f>
        <v>3448936.6096488903</v>
      </c>
      <c r="K21" s="28">
        <f>PROGRAMADO!K21/'Anexo '!$C$23</f>
        <v>3448936.6096488903</v>
      </c>
      <c r="L21" s="28">
        <f>PROGRAMADO!L21/'Anexo '!$C$23</f>
        <v>15515414.857279032</v>
      </c>
      <c r="M21" s="28">
        <f>PROGRAMADO!M21/'Anexo '!$C$23</f>
        <v>6414060.7292273473</v>
      </c>
      <c r="N21" s="28">
        <f>PROGRAMADO!N21/'Anexo '!$C$23</f>
        <v>21929475.586506382</v>
      </c>
      <c r="O21" s="28">
        <f>PROGRAMADO!O21/'Anexo '!$C$23</f>
        <v>25378412.196155272</v>
      </c>
      <c r="P21" s="28">
        <f>PROGRAMADO!P21/'Anexo '!$D$23</f>
        <v>0</v>
      </c>
      <c r="Q21" s="28">
        <f>PROGRAMADO!Q21/'Anexo '!$D$23</f>
        <v>3241482.3715434861</v>
      </c>
      <c r="R21" s="28">
        <f>PROGRAMADO!R21/'Anexo '!$D$23</f>
        <v>3241482.3715434861</v>
      </c>
      <c r="S21" s="28">
        <f>PROGRAMADO!S21/'Anexo '!$D$23</f>
        <v>15144624.748232134</v>
      </c>
      <c r="T21" s="28">
        <f>PROGRAMADO!T21/'Anexo '!$D$23</f>
        <v>10933225.828716282</v>
      </c>
      <c r="U21" s="28">
        <f>PROGRAMADO!U21/'Anexo '!$D$23</f>
        <v>26077850.576948415</v>
      </c>
      <c r="V21" s="28">
        <f>PROGRAMADO!V21/'Anexo '!$D$23</f>
        <v>29319332.948491901</v>
      </c>
      <c r="W21" s="28">
        <f>PROGRAMADO!W21/'Anexo '!$E$23</f>
        <v>0</v>
      </c>
      <c r="X21" s="28">
        <f>PROGRAMADO!X21/'Anexo '!$E$23</f>
        <v>3271853.1311815362</v>
      </c>
      <c r="Y21" s="28">
        <f>PROGRAMADO!Y21/'Anexo '!$E$23</f>
        <v>3271853.1311815362</v>
      </c>
      <c r="Z21" s="28">
        <f>PROGRAMADO!Z21/'Anexo '!$E$23</f>
        <v>14356672.204526303</v>
      </c>
      <c r="AA21" s="28">
        <f>PROGRAMADO!AA21/'Anexo '!$E$23</f>
        <v>10873928.035713218</v>
      </c>
      <c r="AB21" s="28">
        <f>PROGRAMADO!AB21/'Anexo '!$E$23</f>
        <v>25230600.240239523</v>
      </c>
      <c r="AC21" s="28">
        <f>PROGRAMADO!AC21/'Anexo '!$E$23</f>
        <v>28502453.371421058</v>
      </c>
      <c r="AD21" s="28">
        <f>PROGRAMADO!AD21/'Anexo '!$F$23</f>
        <v>0</v>
      </c>
      <c r="AE21" s="28">
        <f>PROGRAMADO!AE21/'Anexo '!$F$23</f>
        <v>3097324.9857712011</v>
      </c>
      <c r="AF21" s="28">
        <f>PROGRAMADO!AF21/'Anexo '!$F$23</f>
        <v>3097324.9857712011</v>
      </c>
      <c r="AG21" s="28">
        <f>PROGRAMADO!AG21/'Anexo '!$F$23</f>
        <v>12440168.7535572</v>
      </c>
      <c r="AH21" s="28">
        <f>PROGRAMADO!AH21/'Anexo '!$F$23</f>
        <v>17373591.348890152</v>
      </c>
      <c r="AI21" s="28">
        <f>PROGRAMADO!AI21/'Anexo '!$F$23</f>
        <v>29813760.102447353</v>
      </c>
      <c r="AJ21" s="28">
        <f>PROGRAMADO!AJ21/'Anexo '!$F$23</f>
        <v>32911085.088218555</v>
      </c>
      <c r="AK21" s="28">
        <f>PROGRAMADO!AK21/'Anexo '!$G$23</f>
        <v>0</v>
      </c>
      <c r="AL21" s="28">
        <f>PROGRAMADO!AL21/'Anexo '!$G$23</f>
        <v>2077493.5089573679</v>
      </c>
      <c r="AM21" s="28">
        <f>PROGRAMADO!AM21/'Anexo '!$G$23</f>
        <v>2077493.5089573679</v>
      </c>
      <c r="AN21" s="28">
        <f>PROGRAMADO!AN21/'Anexo '!$G$23</f>
        <v>5803110.0631487658</v>
      </c>
      <c r="AO21" s="28">
        <f>PROGRAMADO!AO21/'Anexo '!$G$23</f>
        <v>20639298.587961081</v>
      </c>
      <c r="AP21" s="28">
        <f>PROGRAMADO!AP21/'Anexo '!$G$23</f>
        <v>26442408.651109848</v>
      </c>
      <c r="AQ21" s="28">
        <f>PROGRAMADO!AQ21/'Anexo '!$G$23</f>
        <v>28519902.160067216</v>
      </c>
      <c r="AR21" s="28">
        <f>PROGRAMADO!AR21/'Anexo '!$H$23</f>
        <v>0</v>
      </c>
      <c r="AS21" s="28">
        <f>PROGRAMADO!AS21/'Anexo '!$H$23</f>
        <v>1213246.1968108446</v>
      </c>
      <c r="AT21" s="28">
        <f>PROGRAMADO!AT21/'Anexo '!$H$23</f>
        <v>1213246.1968108446</v>
      </c>
      <c r="AU21" s="28">
        <f>PROGRAMADO!AU21/'Anexo '!$H$23</f>
        <v>10011657.916879604</v>
      </c>
      <c r="AV21" s="28">
        <f>PROGRAMADO!AV21/'Anexo '!$H$23</f>
        <v>11097256.025480205</v>
      </c>
      <c r="AW21" s="28">
        <f>PROGRAMADO!AW21/'Anexo '!$H$23</f>
        <v>21108913.942359809</v>
      </c>
      <c r="AX21" s="28">
        <f>PROGRAMADO!AX21/'Anexo '!$H$23</f>
        <v>22322160.139170654</v>
      </c>
      <c r="AY21" s="28">
        <f>PROGRAMADO!AY21/'Anexo '!$I$23</f>
        <v>0</v>
      </c>
      <c r="AZ21" s="28">
        <f>PROGRAMADO!AZ21/'Anexo '!$I$23</f>
        <v>0</v>
      </c>
      <c r="BA21" s="28">
        <f>PROGRAMADO!BA21/'Anexo '!$I$23</f>
        <v>0</v>
      </c>
      <c r="BB21" s="28">
        <f>PROGRAMADO!BB21/'Anexo '!$I$23</f>
        <v>377318.37643600471</v>
      </c>
      <c r="BC21" s="28">
        <f>PROGRAMADO!BC21/'Anexo '!$I$23</f>
        <v>2683623.2788835415</v>
      </c>
      <c r="BD21" s="28">
        <f>PROGRAMADO!BD21/'Anexo '!$I$23</f>
        <v>3060941.6553195463</v>
      </c>
      <c r="BE21" s="28">
        <f>PROGRAMADO!BE21/'Anexo '!$I$23</f>
        <v>3060941.6553195463</v>
      </c>
      <c r="BF21" s="28">
        <f>PROGRAMADO!BF21/'Anexo '!$J$23</f>
        <v>0</v>
      </c>
      <c r="BG21" s="28">
        <f>PROGRAMADO!BG21/'Anexo '!$J$23</f>
        <v>0</v>
      </c>
      <c r="BH21" s="28">
        <f>PROGRAMADO!BH21/'Anexo '!$J$23</f>
        <v>0</v>
      </c>
      <c r="BI21" s="28">
        <f>PROGRAMADO!BI21/'Anexo '!$J$23</f>
        <v>543549.84922552493</v>
      </c>
      <c r="BJ21" s="28">
        <f>PROGRAMADO!BJ21/'Anexo '!$J$23</f>
        <v>2651466.4924800061</v>
      </c>
      <c r="BK21" s="28">
        <f>PROGRAMADO!BK21/'Anexo '!$J$23</f>
        <v>3195016.3417055309</v>
      </c>
      <c r="BL21" s="28">
        <f>PROGRAMADO!BL21/'Anexo '!$J$23</f>
        <v>3195016.3417055309</v>
      </c>
      <c r="BM21" s="28">
        <f>PROGRAMADO!BM21/'Anexo '!$K$23</f>
        <v>0</v>
      </c>
      <c r="BN21" s="28">
        <f>PROGRAMADO!BN21/'Anexo '!$K$23</f>
        <v>0</v>
      </c>
      <c r="BO21" s="28">
        <f>PROGRAMADO!BO21/'Anexo '!$K$23</f>
        <v>0</v>
      </c>
      <c r="BP21" s="28">
        <f>PROGRAMADO!BP21/'Anexo '!$K$23</f>
        <v>0</v>
      </c>
      <c r="BQ21" s="28">
        <f>PROGRAMADO!BQ21/'Anexo '!$K$23</f>
        <v>2383516.7652947921</v>
      </c>
      <c r="BR21" s="28">
        <f>PROGRAMADO!BR21/'Anexo '!$K$23</f>
        <v>2383516.7652947921</v>
      </c>
      <c r="BS21" s="28">
        <f>PROGRAMADO!BS21/'Anexo '!$K$23</f>
        <v>2383516.7652947921</v>
      </c>
      <c r="BT21" s="28">
        <f>PROGRAMADO!BT21/'Anexo '!$L$23</f>
        <v>0</v>
      </c>
      <c r="BU21" s="28">
        <f>PROGRAMADO!BU21/'Anexo '!$L$23</f>
        <v>0</v>
      </c>
      <c r="BV21" s="28">
        <f>PROGRAMADO!BV21/'Anexo '!$L$23</f>
        <v>0</v>
      </c>
      <c r="BW21" s="28">
        <f>PROGRAMADO!BW21/'Anexo '!$L$23</f>
        <v>0</v>
      </c>
      <c r="BX21" s="28">
        <f>PROGRAMADO!BX21/'Anexo '!$L$23</f>
        <v>0</v>
      </c>
      <c r="BY21" s="28">
        <f>PROGRAMADO!BY21/'Anexo '!$L$23</f>
        <v>1617012.2777289385</v>
      </c>
      <c r="BZ21" s="28">
        <f>PROGRAMADO!BZ21/'Anexo '!$L$23</f>
        <v>1617012.2777289385</v>
      </c>
      <c r="CA21" s="28">
        <f>PROGRAMADO!CA21/'Anexo '!$L$23</f>
        <v>1617012.2777289385</v>
      </c>
      <c r="CB21" s="28">
        <f>PROGRAMADO!CB21/'Anexo '!$M$23</f>
        <v>0</v>
      </c>
      <c r="CC21" s="28">
        <f>PROGRAMADO!CC21/'Anexo '!$M$23</f>
        <v>0</v>
      </c>
      <c r="CD21" s="28">
        <f>PROGRAMADO!CD21/'Anexo '!$M$23</f>
        <v>0</v>
      </c>
      <c r="CE21" s="28">
        <f>PROGRAMADO!CE21/'Anexo '!$M$23</f>
        <v>0</v>
      </c>
      <c r="CF21" s="28">
        <f>PROGRAMADO!CF21/'Anexo '!$M$23</f>
        <v>0</v>
      </c>
      <c r="CG21" s="28">
        <f>PROGRAMADO!CG21/'Anexo '!$M$23</f>
        <v>0</v>
      </c>
      <c r="CH21" s="28">
        <f>PROGRAMADO!CH21/'Anexo '!$M$23</f>
        <v>0</v>
      </c>
      <c r="CI21" s="29">
        <f>PROGRAMADO!CI21/'Anexo '!$M$23</f>
        <v>0</v>
      </c>
    </row>
    <row r="22" spans="1:87" x14ac:dyDescent="0.25">
      <c r="A22" s="15" t="s">
        <v>13</v>
      </c>
      <c r="B22" s="27">
        <f>PROGRAMADO!B22/'Anexo '!$B$23</f>
        <v>0</v>
      </c>
      <c r="C22" s="28">
        <f>PROGRAMADO!C22/'Anexo '!$B$23</f>
        <v>771859.40931704477</v>
      </c>
      <c r="D22" s="28">
        <f>PROGRAMADO!D22/'Anexo '!$B$23</f>
        <v>771859.40931704477</v>
      </c>
      <c r="E22" s="28">
        <f>PROGRAMADO!E22/'Anexo '!$B$23</f>
        <v>0</v>
      </c>
      <c r="F22" s="28">
        <f>PROGRAMADO!F22/'Anexo '!$B$23</f>
        <v>0</v>
      </c>
      <c r="G22" s="28">
        <f>PROGRAMADO!G22/'Anexo '!$B$23</f>
        <v>0</v>
      </c>
      <c r="H22" s="28">
        <f>PROGRAMADO!H22/'Anexo '!$B$23</f>
        <v>771859.40931704477</v>
      </c>
      <c r="I22" s="28">
        <f>PROGRAMADO!I22/'Anexo '!$C$23</f>
        <v>0</v>
      </c>
      <c r="J22" s="28">
        <f>PROGRAMADO!J22/'Anexo '!$C$23</f>
        <v>748027.326166393</v>
      </c>
      <c r="K22" s="28">
        <f>PROGRAMADO!K22/'Anexo '!$C$23</f>
        <v>748027.326166393</v>
      </c>
      <c r="L22" s="28">
        <f>PROGRAMADO!L22/'Anexo '!$C$23</f>
        <v>658617.63888153364</v>
      </c>
      <c r="M22" s="28">
        <f>PROGRAMADO!M22/'Anexo '!$C$23</f>
        <v>0</v>
      </c>
      <c r="N22" s="28">
        <f>PROGRAMADO!N22/'Anexo '!$C$23</f>
        <v>658617.63888153364</v>
      </c>
      <c r="O22" s="28">
        <f>PROGRAMADO!O22/'Anexo '!$C$23</f>
        <v>1406644.9650479266</v>
      </c>
      <c r="P22" s="28">
        <f>PROGRAMADO!P22/'Anexo '!$D$23</f>
        <v>0</v>
      </c>
      <c r="Q22" s="28">
        <f>PROGRAMADO!Q22/'Anexo '!$D$23</f>
        <v>741970.09531100001</v>
      </c>
      <c r="R22" s="28">
        <f>PROGRAMADO!R22/'Anexo '!$D$23</f>
        <v>741970.09531100001</v>
      </c>
      <c r="S22" s="28">
        <f>PROGRAMADO!S22/'Anexo '!$D$23</f>
        <v>537753.82279307034</v>
      </c>
      <c r="T22" s="28">
        <f>PROGRAMADO!T22/'Anexo '!$D$23</f>
        <v>0</v>
      </c>
      <c r="U22" s="28">
        <f>PROGRAMADO!U22/'Anexo '!$D$23</f>
        <v>537753.82279307034</v>
      </c>
      <c r="V22" s="28">
        <f>PROGRAMADO!V22/'Anexo '!$D$23</f>
        <v>1279723.9181040702</v>
      </c>
      <c r="W22" s="28">
        <f>PROGRAMADO!W22/'Anexo '!$E$23</f>
        <v>0</v>
      </c>
      <c r="X22" s="28">
        <f>PROGRAMADO!X22/'Anexo '!$E$23</f>
        <v>1195221.5044253077</v>
      </c>
      <c r="Y22" s="28">
        <f>PROGRAMADO!Y22/'Anexo '!$E$23</f>
        <v>1195221.5044253077</v>
      </c>
      <c r="Z22" s="28">
        <f>PROGRAMADO!Z22/'Anexo '!$E$23</f>
        <v>1033427.1183807139</v>
      </c>
      <c r="AA22" s="28">
        <f>PROGRAMADO!AA22/'Anexo '!$E$23</f>
        <v>2480688.2085422482</v>
      </c>
      <c r="AB22" s="28">
        <f>PROGRAMADO!AB22/'Anexo '!$E$23</f>
        <v>3514115.326922962</v>
      </c>
      <c r="AC22" s="28">
        <f>PROGRAMADO!AC22/'Anexo '!$E$23</f>
        <v>4709336.8313482692</v>
      </c>
      <c r="AD22" s="28">
        <f>PROGRAMADO!AD22/'Anexo '!$F$23</f>
        <v>0</v>
      </c>
      <c r="AE22" s="28">
        <f>PROGRAMADO!AE22/'Anexo '!$F$23</f>
        <v>1042117.2453044963</v>
      </c>
      <c r="AF22" s="28">
        <f>PROGRAMADO!AF22/'Anexo '!$F$23</f>
        <v>1042117.2453044963</v>
      </c>
      <c r="AG22" s="28">
        <f>PROGRAMADO!AG22/'Anexo '!$F$23</f>
        <v>652191.23505976098</v>
      </c>
      <c r="AH22" s="28">
        <f>PROGRAMADO!AH22/'Anexo '!$F$23</f>
        <v>65110.98463289698</v>
      </c>
      <c r="AI22" s="28">
        <f>PROGRAMADO!AI22/'Anexo '!$F$23</f>
        <v>717302.21969265793</v>
      </c>
      <c r="AJ22" s="28">
        <f>PROGRAMADO!AJ22/'Anexo '!$F$23</f>
        <v>1759419.4649971542</v>
      </c>
      <c r="AK22" s="28">
        <f>PROGRAMADO!AK22/'Anexo '!$G$23</f>
        <v>0</v>
      </c>
      <c r="AL22" s="28">
        <f>PROGRAMADO!AL22/'Anexo '!$G$23</f>
        <v>271556.06146841205</v>
      </c>
      <c r="AM22" s="28">
        <f>PROGRAMADO!AM22/'Anexo '!$G$23</f>
        <v>271556.06146841205</v>
      </c>
      <c r="AN22" s="28">
        <f>PROGRAMADO!AN22/'Anexo '!$G$23</f>
        <v>358504.97330406267</v>
      </c>
      <c r="AO22" s="28">
        <f>PROGRAMADO!AO22/'Anexo '!$G$23</f>
        <v>350868.63430631219</v>
      </c>
      <c r="AP22" s="28">
        <f>PROGRAMADO!AP22/'Anexo '!$G$23</f>
        <v>709373.60761037481</v>
      </c>
      <c r="AQ22" s="28">
        <f>PROGRAMADO!AQ22/'Anexo '!$G$23</f>
        <v>980929.66907878697</v>
      </c>
      <c r="AR22" s="28">
        <f>PROGRAMADO!AR22/'Anexo '!$H$23</f>
        <v>0</v>
      </c>
      <c r="AS22" s="28">
        <f>PROGRAMADO!AS22/'Anexo '!$H$23</f>
        <v>0</v>
      </c>
      <c r="AT22" s="28">
        <f>PROGRAMADO!AT22/'Anexo '!$H$23</f>
        <v>0</v>
      </c>
      <c r="AU22" s="28">
        <f>PROGRAMADO!AU22/'Anexo '!$H$23</f>
        <v>0</v>
      </c>
      <c r="AV22" s="28">
        <f>PROGRAMADO!AV22/'Anexo '!$H$23</f>
        <v>0</v>
      </c>
      <c r="AW22" s="28">
        <f>PROGRAMADO!AW22/'Anexo '!$H$23</f>
        <v>0</v>
      </c>
      <c r="AX22" s="28">
        <f>PROGRAMADO!AX22/'Anexo '!$H$23</f>
        <v>0</v>
      </c>
      <c r="AY22" s="28">
        <f>PROGRAMADO!AY22/'Anexo '!$I$23</f>
        <v>0</v>
      </c>
      <c r="AZ22" s="28">
        <f>PROGRAMADO!AZ22/'Anexo '!$I$23</f>
        <v>0</v>
      </c>
      <c r="BA22" s="28">
        <f>PROGRAMADO!BA22/'Anexo '!$I$23</f>
        <v>0</v>
      </c>
      <c r="BB22" s="28">
        <f>PROGRAMADO!BB22/'Anexo '!$I$23</f>
        <v>0</v>
      </c>
      <c r="BC22" s="28">
        <f>PROGRAMADO!BC22/'Anexo '!$I$23</f>
        <v>0</v>
      </c>
      <c r="BD22" s="28">
        <f>PROGRAMADO!BD22/'Anexo '!$I$23</f>
        <v>0</v>
      </c>
      <c r="BE22" s="28">
        <f>PROGRAMADO!BE22/'Anexo '!$I$23</f>
        <v>0</v>
      </c>
      <c r="BF22" s="28">
        <f>PROGRAMADO!BF22/'Anexo '!$J$23</f>
        <v>0</v>
      </c>
      <c r="BG22" s="28">
        <f>PROGRAMADO!BG22/'Anexo '!$J$23</f>
        <v>0</v>
      </c>
      <c r="BH22" s="28">
        <f>PROGRAMADO!BH22/'Anexo '!$J$23</f>
        <v>0</v>
      </c>
      <c r="BI22" s="28">
        <f>PROGRAMADO!BI22/'Anexo '!$J$23</f>
        <v>0</v>
      </c>
      <c r="BJ22" s="28">
        <f>PROGRAMADO!BJ22/'Anexo '!$J$23</f>
        <v>0</v>
      </c>
      <c r="BK22" s="28">
        <f>PROGRAMADO!BK22/'Anexo '!$J$23</f>
        <v>0</v>
      </c>
      <c r="BL22" s="28">
        <f>PROGRAMADO!BL22/'Anexo '!$J$23</f>
        <v>0</v>
      </c>
      <c r="BM22" s="28">
        <f>PROGRAMADO!BM22/'Anexo '!$K$23</f>
        <v>0</v>
      </c>
      <c r="BN22" s="28">
        <f>PROGRAMADO!BN22/'Anexo '!$K$23</f>
        <v>0</v>
      </c>
      <c r="BO22" s="28">
        <f>PROGRAMADO!BO22/'Anexo '!$K$23</f>
        <v>0</v>
      </c>
      <c r="BP22" s="28">
        <f>PROGRAMADO!BP22/'Anexo '!$K$23</f>
        <v>0</v>
      </c>
      <c r="BQ22" s="28">
        <f>PROGRAMADO!BQ22/'Anexo '!$K$23</f>
        <v>0</v>
      </c>
      <c r="BR22" s="28">
        <f>PROGRAMADO!BR22/'Anexo '!$K$23</f>
        <v>0</v>
      </c>
      <c r="BS22" s="28">
        <f>PROGRAMADO!BS22/'Anexo '!$K$23</f>
        <v>0</v>
      </c>
      <c r="BT22" s="28">
        <f>PROGRAMADO!BT22/'Anexo '!$L$23</f>
        <v>0</v>
      </c>
      <c r="BU22" s="28">
        <f>PROGRAMADO!BU22/'Anexo '!$L$23</f>
        <v>0</v>
      </c>
      <c r="BV22" s="28">
        <f>PROGRAMADO!BV22/'Anexo '!$L$23</f>
        <v>0</v>
      </c>
      <c r="BW22" s="28">
        <f>PROGRAMADO!BW22/'Anexo '!$L$23</f>
        <v>0</v>
      </c>
      <c r="BX22" s="28">
        <f>PROGRAMADO!BX22/'Anexo '!$L$23</f>
        <v>0</v>
      </c>
      <c r="BY22" s="28">
        <f>PROGRAMADO!BY22/'Anexo '!$L$23</f>
        <v>0</v>
      </c>
      <c r="BZ22" s="28">
        <f>PROGRAMADO!BZ22/'Anexo '!$L$23</f>
        <v>0</v>
      </c>
      <c r="CA22" s="28">
        <f>PROGRAMADO!CA22/'Anexo '!$L$23</f>
        <v>0</v>
      </c>
      <c r="CB22" s="28">
        <f>PROGRAMADO!CB22/'Anexo '!$M$23</f>
        <v>0</v>
      </c>
      <c r="CC22" s="28">
        <f>PROGRAMADO!CC22/'Anexo '!$M$23</f>
        <v>0</v>
      </c>
      <c r="CD22" s="28">
        <f>PROGRAMADO!CD22/'Anexo '!$M$23</f>
        <v>0</v>
      </c>
      <c r="CE22" s="28">
        <f>PROGRAMADO!CE22/'Anexo '!$M$23</f>
        <v>0</v>
      </c>
      <c r="CF22" s="28">
        <f>PROGRAMADO!CF22/'Anexo '!$M$23</f>
        <v>0</v>
      </c>
      <c r="CG22" s="28">
        <f>PROGRAMADO!CG22/'Anexo '!$M$23</f>
        <v>0</v>
      </c>
      <c r="CH22" s="28">
        <f>PROGRAMADO!CH22/'Anexo '!$M$23</f>
        <v>0</v>
      </c>
      <c r="CI22" s="29">
        <f>PROGRAMADO!CI22/'Anexo '!$M$23</f>
        <v>0</v>
      </c>
    </row>
    <row r="23" spans="1:87" x14ac:dyDescent="0.25">
      <c r="A23" s="15" t="s">
        <v>14</v>
      </c>
      <c r="B23" s="27">
        <f>PROGRAMADO!B23/'Anexo '!$B$23</f>
        <v>0</v>
      </c>
      <c r="C23" s="28">
        <f>PROGRAMADO!C23/'Anexo '!$B$23</f>
        <v>631521.33629914455</v>
      </c>
      <c r="D23" s="28">
        <f>PROGRAMADO!D23/'Anexo '!$B$23</f>
        <v>631521.33629914455</v>
      </c>
      <c r="E23" s="28">
        <f>PROGRAMADO!E23/'Anexo '!$B$23</f>
        <v>0</v>
      </c>
      <c r="F23" s="28">
        <f>PROGRAMADO!F23/'Anexo '!$B$23</f>
        <v>0</v>
      </c>
      <c r="G23" s="28">
        <f>PROGRAMADO!G23/'Anexo '!$B$23</f>
        <v>0</v>
      </c>
      <c r="H23" s="28">
        <f>PROGRAMADO!H23/'Anexo '!$B$23</f>
        <v>631521.33629914455</v>
      </c>
      <c r="I23" s="28">
        <f>PROGRAMADO!I23/'Anexo '!$C$23</f>
        <v>0</v>
      </c>
      <c r="J23" s="28">
        <f>PROGRAMADO!J23/'Anexo '!$C$23</f>
        <v>1211327.1196314145</v>
      </c>
      <c r="K23" s="28">
        <f>PROGRAMADO!K23/'Anexo '!$C$23</f>
        <v>1211327.1196314145</v>
      </c>
      <c r="L23" s="28">
        <f>PROGRAMADO!L23/'Anexo '!$C$23</f>
        <v>523676.011491818</v>
      </c>
      <c r="M23" s="28">
        <f>PROGRAMADO!M23/'Anexo '!$C$23</f>
        <v>517926.17698458931</v>
      </c>
      <c r="N23" s="28">
        <f>PROGRAMADO!N23/'Anexo '!$C$23</f>
        <v>1041602.1884764073</v>
      </c>
      <c r="O23" s="28">
        <f>PROGRAMADO!O23/'Anexo '!$C$23</f>
        <v>2252929.3081078217</v>
      </c>
      <c r="P23" s="28">
        <f>PROGRAMADO!P23/'Anexo '!$D$23</f>
        <v>0</v>
      </c>
      <c r="Q23" s="28">
        <f>PROGRAMADO!Q23/'Anexo '!$D$23</f>
        <v>1182979.5511159354</v>
      </c>
      <c r="R23" s="28">
        <f>PROGRAMADO!R23/'Anexo '!$D$23</f>
        <v>1182979.5511159354</v>
      </c>
      <c r="S23" s="28">
        <f>PROGRAMADO!S23/'Anexo '!$D$23</f>
        <v>1588230.4405388616</v>
      </c>
      <c r="T23" s="28">
        <f>PROGRAMADO!T23/'Anexo '!$D$23</f>
        <v>93150.219924328456</v>
      </c>
      <c r="U23" s="28">
        <f>PROGRAMADO!U23/'Anexo '!$D$23</f>
        <v>1681380.6604631902</v>
      </c>
      <c r="V23" s="28">
        <f>PROGRAMADO!V23/'Anexo '!$D$23</f>
        <v>2864360.2115791258</v>
      </c>
      <c r="W23" s="28">
        <f>PROGRAMADO!W23/'Anexo '!$E$23</f>
        <v>0</v>
      </c>
      <c r="X23" s="28">
        <f>PROGRAMADO!X23/'Anexo '!$E$23</f>
        <v>1936450.0726097063</v>
      </c>
      <c r="Y23" s="28">
        <f>PROGRAMADO!Y23/'Anexo '!$E$23</f>
        <v>1936450.0726097063</v>
      </c>
      <c r="Z23" s="28">
        <f>PROGRAMADO!Z23/'Anexo '!$E$23</f>
        <v>537849.67699138843</v>
      </c>
      <c r="AA23" s="28">
        <f>PROGRAMADO!AA23/'Anexo '!$E$23</f>
        <v>88719.499441233944</v>
      </c>
      <c r="AB23" s="28">
        <f>PROGRAMADO!AB23/'Anexo '!$E$23</f>
        <v>626569.17643262236</v>
      </c>
      <c r="AC23" s="28">
        <f>PROGRAMADO!AC23/'Anexo '!$E$23</f>
        <v>2563019.2490423289</v>
      </c>
      <c r="AD23" s="28">
        <f>PROGRAMADO!AD23/'Anexo '!$F$23</f>
        <v>0</v>
      </c>
      <c r="AE23" s="28">
        <f>PROGRAMADO!AE23/'Anexo '!$F$23</f>
        <v>1094136.482640865</v>
      </c>
      <c r="AF23" s="28">
        <f>PROGRAMADO!AF23/'Anexo '!$F$23</f>
        <v>1094136.482640865</v>
      </c>
      <c r="AG23" s="28">
        <f>PROGRAMADO!AG23/'Anexo '!$F$23</f>
        <v>50000</v>
      </c>
      <c r="AH23" s="28">
        <f>PROGRAMADO!AH23/'Anexo '!$F$23</f>
        <v>1337507.1143995447</v>
      </c>
      <c r="AI23" s="28">
        <f>PROGRAMADO!AI23/'Anexo '!$F$23</f>
        <v>1387507.1143995447</v>
      </c>
      <c r="AJ23" s="28">
        <f>PROGRAMADO!AJ23/'Anexo '!$F$23</f>
        <v>2481643.5970404097</v>
      </c>
      <c r="AK23" s="28">
        <f>PROGRAMADO!AK23/'Anexo '!$G$23</f>
        <v>0</v>
      </c>
      <c r="AL23" s="28">
        <f>PROGRAMADO!AL23/'Anexo '!$G$23</f>
        <v>1373406.6726292111</v>
      </c>
      <c r="AM23" s="28">
        <f>PROGRAMADO!AM23/'Anexo '!$G$23</f>
        <v>1373406.6726292111</v>
      </c>
      <c r="AN23" s="28">
        <f>PROGRAMADO!AN23/'Anexo '!$G$23</f>
        <v>732752.20207604952</v>
      </c>
      <c r="AO23" s="28">
        <f>PROGRAMADO!AO23/'Anexo '!$G$23</f>
        <v>3028242.7839661762</v>
      </c>
      <c r="AP23" s="28">
        <f>PROGRAMADO!AP23/'Anexo '!$G$23</f>
        <v>3760994.9860422257</v>
      </c>
      <c r="AQ23" s="28">
        <f>PROGRAMADO!AQ23/'Anexo '!$G$23</f>
        <v>5134401.6586714368</v>
      </c>
      <c r="AR23" s="28">
        <f>PROGRAMADO!AR23/'Anexo '!$H$23</f>
        <v>0</v>
      </c>
      <c r="AS23" s="28">
        <f>PROGRAMADO!AS23/'Anexo '!$H$23</f>
        <v>2112603.8746844656</v>
      </c>
      <c r="AT23" s="28">
        <f>PROGRAMADO!AT23/'Anexo '!$H$23</f>
        <v>2112603.8746844656</v>
      </c>
      <c r="AU23" s="28">
        <f>PROGRAMADO!AU23/'Anexo '!$H$23</f>
        <v>57996.376194384648</v>
      </c>
      <c r="AV23" s="28">
        <f>PROGRAMADO!AV23/'Anexo '!$H$23</f>
        <v>2933056.8503863844</v>
      </c>
      <c r="AW23" s="28">
        <f>PROGRAMADO!AW23/'Anexo '!$H$23</f>
        <v>2991053.2265807688</v>
      </c>
      <c r="AX23" s="28">
        <f>PROGRAMADO!AX23/'Anexo '!$H$23</f>
        <v>5103657.1012652349</v>
      </c>
      <c r="AY23" s="28">
        <f>PROGRAMADO!AY23/'Anexo '!$I$23</f>
        <v>0</v>
      </c>
      <c r="AZ23" s="28">
        <f>PROGRAMADO!AZ23/'Anexo '!$I$23</f>
        <v>2268124.5545128766</v>
      </c>
      <c r="BA23" s="28">
        <f>PROGRAMADO!BA23/'Anexo '!$I$23</f>
        <v>2268124.5545128766</v>
      </c>
      <c r="BB23" s="28">
        <f>PROGRAMADO!BB23/'Anexo '!$I$23</f>
        <v>77278.215003760532</v>
      </c>
      <c r="BC23" s="28">
        <f>PROGRAMADO!BC23/'Anexo '!$I$23</f>
        <v>1432746.8551681421</v>
      </c>
      <c r="BD23" s="28">
        <f>PROGRAMADO!BD23/'Anexo '!$I$23</f>
        <v>1510025.0701719027</v>
      </c>
      <c r="BE23" s="28">
        <f>PROGRAMADO!BE23/'Anexo '!$I$23</f>
        <v>3778149.6246847794</v>
      </c>
      <c r="BF23" s="28">
        <f>PROGRAMADO!BF23/'Anexo '!$J$23</f>
        <v>0</v>
      </c>
      <c r="BG23" s="28">
        <f>PROGRAMADO!BG23/'Anexo '!$J$23</f>
        <v>1816801.8486261729</v>
      </c>
      <c r="BH23" s="28">
        <f>PROGRAMADO!BH23/'Anexo '!$J$23</f>
        <v>1816801.8486261729</v>
      </c>
      <c r="BI23" s="28">
        <f>PROGRAMADO!BI23/'Anexo '!$J$23</f>
        <v>0</v>
      </c>
      <c r="BJ23" s="28">
        <f>PROGRAMADO!BJ23/'Anexo '!$J$23</f>
        <v>0</v>
      </c>
      <c r="BK23" s="28">
        <f>PROGRAMADO!BK23/'Anexo '!$J$23</f>
        <v>0</v>
      </c>
      <c r="BL23" s="28">
        <f>PROGRAMADO!BL23/'Anexo '!$J$23</f>
        <v>1816801.8486261729</v>
      </c>
      <c r="BM23" s="28">
        <f>PROGRAMADO!BM23/'Anexo '!$K$23</f>
        <v>0</v>
      </c>
      <c r="BN23" s="28">
        <f>PROGRAMADO!BN23/'Anexo '!$K$23</f>
        <v>2082086.7541015774</v>
      </c>
      <c r="BO23" s="28">
        <f>PROGRAMADO!BO23/'Anexo '!$K$23</f>
        <v>2082086.7541015774</v>
      </c>
      <c r="BP23" s="28">
        <f>PROGRAMADO!BP23/'Anexo '!$K$23</f>
        <v>1811165.253764889</v>
      </c>
      <c r="BQ23" s="28">
        <f>PROGRAMADO!BQ23/'Anexo '!$K$23</f>
        <v>0</v>
      </c>
      <c r="BR23" s="28">
        <f>PROGRAMADO!BR23/'Anexo '!$K$23</f>
        <v>1811165.253764889</v>
      </c>
      <c r="BS23" s="28">
        <f>PROGRAMADO!BS23/'Anexo '!$K$23</f>
        <v>3893252.0078664664</v>
      </c>
      <c r="BT23" s="28">
        <f>PROGRAMADO!BT23/'Anexo '!$L$23</f>
        <v>0</v>
      </c>
      <c r="BU23" s="28">
        <f>PROGRAMADO!BU23/'Anexo '!$L$23</f>
        <v>5849275.8645585151</v>
      </c>
      <c r="BV23" s="28">
        <f>PROGRAMADO!BV23/'Anexo '!$L$23</f>
        <v>0</v>
      </c>
      <c r="BW23" s="28">
        <f>PROGRAMADO!BW23/'Anexo '!$L$23</f>
        <v>5849275.8645585151</v>
      </c>
      <c r="BX23" s="28">
        <f>PROGRAMADO!BX23/'Anexo '!$L$23</f>
        <v>131849.68594325319</v>
      </c>
      <c r="BY23" s="28">
        <f>PROGRAMADO!BY23/'Anexo '!$L$23</f>
        <v>0</v>
      </c>
      <c r="BZ23" s="28">
        <f>PROGRAMADO!BZ23/'Anexo '!$L$23</f>
        <v>131849.68594325319</v>
      </c>
      <c r="CA23" s="28">
        <f>PROGRAMADO!CA23/'Anexo '!$L$23</f>
        <v>5981125.5505017685</v>
      </c>
      <c r="CB23" s="28">
        <f>PROGRAMADO!CB23/'Anexo '!$M$23</f>
        <v>0</v>
      </c>
      <c r="CC23" s="28">
        <f>PROGRAMADO!CC23/'Anexo '!$M$23</f>
        <v>9227483.1664882973</v>
      </c>
      <c r="CD23" s="28">
        <f>PROGRAMADO!CD23/'Anexo '!$M$23</f>
        <v>0</v>
      </c>
      <c r="CE23" s="28">
        <f>PROGRAMADO!CE23/'Anexo '!$M$23</f>
        <v>9227483.1664882973</v>
      </c>
      <c r="CF23" s="28">
        <f>PROGRAMADO!CF23/'Anexo '!$M$23</f>
        <v>0</v>
      </c>
      <c r="CG23" s="28">
        <f>PROGRAMADO!CG23/'Anexo '!$M$23</f>
        <v>0</v>
      </c>
      <c r="CH23" s="28">
        <f>PROGRAMADO!CH23/'Anexo '!$M$23</f>
        <v>0</v>
      </c>
      <c r="CI23" s="29">
        <f>PROGRAMADO!CI23/'Anexo '!$M$23</f>
        <v>9227483.1664882973</v>
      </c>
    </row>
    <row r="24" spans="1:87" x14ac:dyDescent="0.25">
      <c r="A24" s="15" t="s">
        <v>15</v>
      </c>
      <c r="B24" s="27">
        <f>PROGRAMADO!B24/'Anexo '!$B$23</f>
        <v>0</v>
      </c>
      <c r="C24" s="28">
        <f>PROGRAMADO!C24/'Anexo '!$B$23</f>
        <v>0</v>
      </c>
      <c r="D24" s="28">
        <f>PROGRAMADO!D24/'Anexo '!$B$23</f>
        <v>0</v>
      </c>
      <c r="E24" s="28">
        <f>PROGRAMADO!E24/'Anexo '!$B$23</f>
        <v>0</v>
      </c>
      <c r="F24" s="28">
        <f>PROGRAMADO!F24/'Anexo '!$B$23</f>
        <v>0</v>
      </c>
      <c r="G24" s="28">
        <f>PROGRAMADO!G24/'Anexo '!$B$23</f>
        <v>0</v>
      </c>
      <c r="H24" s="28">
        <f>PROGRAMADO!H24/'Anexo '!$B$23</f>
        <v>0</v>
      </c>
      <c r="I24" s="28">
        <f>PROGRAMADO!I24/'Anexo '!$C$23</f>
        <v>0</v>
      </c>
      <c r="J24" s="28">
        <f>PROGRAMADO!J24/'Anexo '!$C$23</f>
        <v>992956.62765450403</v>
      </c>
      <c r="K24" s="28">
        <f>PROGRAMADO!K24/'Anexo '!$C$23</f>
        <v>992956.62765450403</v>
      </c>
      <c r="L24" s="28">
        <f>PROGRAMADO!L24/'Anexo '!$C$23</f>
        <v>0</v>
      </c>
      <c r="M24" s="28">
        <f>PROGRAMADO!M24/'Anexo '!$C$23</f>
        <v>0</v>
      </c>
      <c r="N24" s="28">
        <f>PROGRAMADO!N24/'Anexo '!$C$23</f>
        <v>0</v>
      </c>
      <c r="O24" s="28">
        <f>PROGRAMADO!O24/'Anexo '!$C$23</f>
        <v>992956.62765450403</v>
      </c>
      <c r="P24" s="28">
        <f>PROGRAMADO!P24/'Anexo '!$D$23</f>
        <v>0</v>
      </c>
      <c r="Q24" s="28">
        <f>PROGRAMADO!Q24/'Anexo '!$D$23</f>
        <v>1254917.7087712472</v>
      </c>
      <c r="R24" s="28">
        <f>PROGRAMADO!R24/'Anexo '!$D$23</f>
        <v>1254917.7087712472</v>
      </c>
      <c r="S24" s="28">
        <f>PROGRAMADO!S24/'Anexo '!$D$23</f>
        <v>0</v>
      </c>
      <c r="T24" s="28">
        <f>PROGRAMADO!T24/'Anexo '!$D$23</f>
        <v>0</v>
      </c>
      <c r="U24" s="28">
        <f>PROGRAMADO!U24/'Anexo '!$D$23</f>
        <v>0</v>
      </c>
      <c r="V24" s="28">
        <f>PROGRAMADO!V24/'Anexo '!$D$23</f>
        <v>1254917.7087712472</v>
      </c>
      <c r="W24" s="28">
        <f>PROGRAMADO!W24/'Anexo '!$E$23</f>
        <v>0</v>
      </c>
      <c r="X24" s="28">
        <f>PROGRAMADO!X24/'Anexo '!$E$23</f>
        <v>1244524.3914828515</v>
      </c>
      <c r="Y24" s="28">
        <f>PROGRAMADO!Y24/'Anexo '!$E$23</f>
        <v>1244524.3914828515</v>
      </c>
      <c r="Z24" s="28">
        <f>PROGRAMADO!Z24/'Anexo '!$E$23</f>
        <v>0</v>
      </c>
      <c r="AA24" s="28">
        <f>PROGRAMADO!AA24/'Anexo '!$E$23</f>
        <v>0</v>
      </c>
      <c r="AB24" s="28">
        <f>PROGRAMADO!AB24/'Anexo '!$E$23</f>
        <v>0</v>
      </c>
      <c r="AC24" s="28">
        <f>PROGRAMADO!AC24/'Anexo '!$E$23</f>
        <v>1244524.3914828515</v>
      </c>
      <c r="AD24" s="28">
        <f>PROGRAMADO!AD24/'Anexo '!$F$23</f>
        <v>0</v>
      </c>
      <c r="AE24" s="28">
        <f>PROGRAMADO!AE24/'Anexo '!$F$23</f>
        <v>1309049.5162208308</v>
      </c>
      <c r="AF24" s="28">
        <f>PROGRAMADO!AF24/'Anexo '!$F$23</f>
        <v>1309049.5162208308</v>
      </c>
      <c r="AG24" s="28">
        <f>PROGRAMADO!AG24/'Anexo '!$F$23</f>
        <v>0</v>
      </c>
      <c r="AH24" s="28">
        <f>PROGRAMADO!AH24/'Anexo '!$F$23</f>
        <v>0</v>
      </c>
      <c r="AI24" s="28">
        <f>PROGRAMADO!AI24/'Anexo '!$F$23</f>
        <v>0</v>
      </c>
      <c r="AJ24" s="28">
        <f>PROGRAMADO!AJ24/'Anexo '!$F$23</f>
        <v>1309049.5162208308</v>
      </c>
      <c r="AK24" s="28">
        <f>PROGRAMADO!AK24/'Anexo '!$G$23</f>
        <v>0</v>
      </c>
      <c r="AL24" s="28">
        <f>PROGRAMADO!AL24/'Anexo '!$G$23</f>
        <v>1246713.82497222</v>
      </c>
      <c r="AM24" s="28">
        <f>PROGRAMADO!AM24/'Anexo '!$G$23</f>
        <v>1246713.82497222</v>
      </c>
      <c r="AN24" s="28">
        <f>PROGRAMADO!AN24/'Anexo '!$G$23</f>
        <v>0</v>
      </c>
      <c r="AO24" s="28">
        <f>PROGRAMADO!AO24/'Anexo '!$G$23</f>
        <v>0</v>
      </c>
      <c r="AP24" s="28">
        <f>PROGRAMADO!AP24/'Anexo '!$G$23</f>
        <v>0</v>
      </c>
      <c r="AQ24" s="28">
        <f>PROGRAMADO!AQ24/'Anexo '!$G$23</f>
        <v>1246713.82497222</v>
      </c>
      <c r="AR24" s="28">
        <f>PROGRAMADO!AR24/'Anexo '!$H$23</f>
        <v>0</v>
      </c>
      <c r="AS24" s="28">
        <f>PROGRAMADO!AS24/'Anexo '!$H$23</f>
        <v>1259158.884776403</v>
      </c>
      <c r="AT24" s="28">
        <f>PROGRAMADO!AT24/'Anexo '!$H$23</f>
        <v>1259158.884776403</v>
      </c>
      <c r="AU24" s="28">
        <f>PROGRAMADO!AU24/'Anexo '!$H$23</f>
        <v>0</v>
      </c>
      <c r="AV24" s="28">
        <f>PROGRAMADO!AV24/'Anexo '!$H$23</f>
        <v>542022.20742415555</v>
      </c>
      <c r="AW24" s="28">
        <f>PROGRAMADO!AW24/'Anexo '!$H$23</f>
        <v>542022.20742415555</v>
      </c>
      <c r="AX24" s="28">
        <f>PROGRAMADO!AX24/'Anexo '!$H$23</f>
        <v>1801181.0922005586</v>
      </c>
      <c r="AY24" s="28">
        <f>PROGRAMADO!AY24/'Anexo '!$I$23</f>
        <v>0</v>
      </c>
      <c r="AZ24" s="28">
        <f>PROGRAMADO!AZ24/'Anexo '!$I$23</f>
        <v>1762530.9567465798</v>
      </c>
      <c r="BA24" s="28">
        <f>PROGRAMADO!BA24/'Anexo '!$I$23</f>
        <v>1762530.9567465798</v>
      </c>
      <c r="BB24" s="28">
        <f>PROGRAMADO!BB24/'Anexo '!$I$23</f>
        <v>0</v>
      </c>
      <c r="BC24" s="28">
        <f>PROGRAMADO!BC24/'Anexo '!$I$23</f>
        <v>1941738.8867860532</v>
      </c>
      <c r="BD24" s="28">
        <f>PROGRAMADO!BD24/'Anexo '!$I$23</f>
        <v>1941738.8867860532</v>
      </c>
      <c r="BE24" s="28">
        <f>PROGRAMADO!BE24/'Anexo '!$I$23</f>
        <v>3704269.843532633</v>
      </c>
      <c r="BF24" s="28">
        <f>PROGRAMADO!BF24/'Anexo '!$J$23</f>
        <v>0</v>
      </c>
      <c r="BG24" s="28">
        <f>PROGRAMADO!BG24/'Anexo '!$J$23</f>
        <v>1535839.2800284694</v>
      </c>
      <c r="BH24" s="28">
        <f>PROGRAMADO!BH24/'Anexo '!$J$23</f>
        <v>1535839.2800284694</v>
      </c>
      <c r="BI24" s="28">
        <f>PROGRAMADO!BI24/'Anexo '!$J$23</f>
        <v>0</v>
      </c>
      <c r="BJ24" s="28">
        <f>PROGRAMADO!BJ24/'Anexo '!$J$23</f>
        <v>2297250.4261017772</v>
      </c>
      <c r="BK24" s="28">
        <f>PROGRAMADO!BK24/'Anexo '!$J$23</f>
        <v>2297250.4261017772</v>
      </c>
      <c r="BL24" s="28">
        <f>PROGRAMADO!BL24/'Anexo '!$J$23</f>
        <v>3833089.7061302466</v>
      </c>
      <c r="BM24" s="28">
        <f>PROGRAMADO!BM24/'Anexo '!$K$23</f>
        <v>0</v>
      </c>
      <c r="BN24" s="28">
        <f>PROGRAMADO!BN24/'Anexo '!$K$23</f>
        <v>1535833.4931302203</v>
      </c>
      <c r="BO24" s="28">
        <f>PROGRAMADO!BO24/'Anexo '!$K$23</f>
        <v>1535833.4931302203</v>
      </c>
      <c r="BP24" s="28">
        <f>PROGRAMADO!BP24/'Anexo '!$K$23</f>
        <v>0</v>
      </c>
      <c r="BQ24" s="28">
        <f>PROGRAMADO!BQ24/'Anexo '!$K$23</f>
        <v>1028344.2515485433</v>
      </c>
      <c r="BR24" s="28">
        <f>PROGRAMADO!BR24/'Anexo '!$K$23</f>
        <v>1028344.2515485433</v>
      </c>
      <c r="BS24" s="28">
        <f>PROGRAMADO!BS24/'Anexo '!$K$23</f>
        <v>2564177.7446787637</v>
      </c>
      <c r="BT24" s="28">
        <f>PROGRAMADO!BT24/'Anexo '!$L$23</f>
        <v>0</v>
      </c>
      <c r="BU24" s="28">
        <f>PROGRAMADO!BU24/'Anexo '!$L$23</f>
        <v>1486407.861823525</v>
      </c>
      <c r="BV24" s="28">
        <f>PROGRAMADO!BV24/'Anexo '!$L$23</f>
        <v>0</v>
      </c>
      <c r="BW24" s="28">
        <f>PROGRAMADO!BW24/'Anexo '!$L$23</f>
        <v>1486407.861823525</v>
      </c>
      <c r="BX24" s="28">
        <f>PROGRAMADO!BX24/'Anexo '!$L$23</f>
        <v>0</v>
      </c>
      <c r="BY24" s="28">
        <f>PROGRAMADO!BY24/'Anexo '!$L$23</f>
        <v>2614803.7729278412</v>
      </c>
      <c r="BZ24" s="28">
        <f>PROGRAMADO!BZ24/'Anexo '!$L$23</f>
        <v>2614803.7729278412</v>
      </c>
      <c r="CA24" s="28">
        <f>PROGRAMADO!CA24/'Anexo '!$L$23</f>
        <v>4101211.634751366</v>
      </c>
      <c r="CB24" s="28">
        <f>PROGRAMADO!CB24/'Anexo '!$M$23</f>
        <v>0</v>
      </c>
      <c r="CC24" s="28">
        <f>PROGRAMADO!CC24/'Anexo '!$M$23</f>
        <v>1617941.6788933713</v>
      </c>
      <c r="CD24" s="28">
        <f>PROGRAMADO!CD24/'Anexo '!$M$23</f>
        <v>0</v>
      </c>
      <c r="CE24" s="28">
        <f>PROGRAMADO!CE24/'Anexo '!$M$23</f>
        <v>1617941.6788933713</v>
      </c>
      <c r="CF24" s="28">
        <f>PROGRAMADO!CF24/'Anexo '!$M$23</f>
        <v>2528033.8732708925</v>
      </c>
      <c r="CG24" s="28">
        <f>PROGRAMADO!CG24/'Anexo '!$M$23</f>
        <v>2426912.5183400568</v>
      </c>
      <c r="CH24" s="28">
        <f>PROGRAMADO!CH24/'Anexo '!$M$23</f>
        <v>4954946.3916109493</v>
      </c>
      <c r="CI24" s="29">
        <f>PROGRAMADO!CI24/'Anexo '!$M$23</f>
        <v>6572888.0705043208</v>
      </c>
    </row>
    <row r="25" spans="1:87" x14ac:dyDescent="0.25">
      <c r="A25" s="15" t="s">
        <v>16</v>
      </c>
      <c r="B25" s="27">
        <f>PROGRAMADO!B25/'Anexo '!$B$23</f>
        <v>0</v>
      </c>
      <c r="C25" s="28">
        <f>PROGRAMADO!C25/'Anexo '!$B$23</f>
        <v>1059878.7689544111</v>
      </c>
      <c r="D25" s="28">
        <f>PROGRAMADO!D25/'Anexo '!$B$23</f>
        <v>1059878.7689544111</v>
      </c>
      <c r="E25" s="28">
        <f>PROGRAMADO!E25/'Anexo '!$B$23</f>
        <v>70519.882396693632</v>
      </c>
      <c r="F25" s="28">
        <f>PROGRAMADO!F25/'Anexo '!$B$23</f>
        <v>0</v>
      </c>
      <c r="G25" s="28">
        <f>PROGRAMADO!G25/'Anexo '!$B$23</f>
        <v>70519.882396693632</v>
      </c>
      <c r="H25" s="28">
        <f>PROGRAMADO!H25/'Anexo '!$B$23</f>
        <v>1130398.6513511047</v>
      </c>
      <c r="I25" s="28">
        <f>PROGRAMADO!I25/'Anexo '!$C$23</f>
        <v>0</v>
      </c>
      <c r="J25" s="28">
        <f>PROGRAMADO!J25/'Anexo '!$C$23</f>
        <v>992956.62765450403</v>
      </c>
      <c r="K25" s="28">
        <f>PROGRAMADO!K25/'Anexo '!$C$23</f>
        <v>992956.62765450403</v>
      </c>
      <c r="L25" s="28">
        <f>PROGRAMADO!L25/'Anexo '!$C$23</f>
        <v>0</v>
      </c>
      <c r="M25" s="28">
        <f>PROGRAMADO!M25/'Anexo '!$C$23</f>
        <v>0</v>
      </c>
      <c r="N25" s="28">
        <f>PROGRAMADO!N25/'Anexo '!$C$23</f>
        <v>0</v>
      </c>
      <c r="O25" s="28">
        <f>PROGRAMADO!O25/'Anexo '!$C$23</f>
        <v>992956.62765450403</v>
      </c>
      <c r="P25" s="28">
        <f>PROGRAMADO!P25/'Anexo '!$D$23</f>
        <v>0</v>
      </c>
      <c r="Q25" s="28">
        <f>PROGRAMADO!Q25/'Anexo '!$D$23</f>
        <v>977618.04069698125</v>
      </c>
      <c r="R25" s="28">
        <f>PROGRAMADO!R25/'Anexo '!$D$23</f>
        <v>977618.04069698125</v>
      </c>
      <c r="S25" s="28">
        <f>PROGRAMADO!S25/'Anexo '!$D$23</f>
        <v>0</v>
      </c>
      <c r="T25" s="28">
        <f>PROGRAMADO!T25/'Anexo '!$D$23</f>
        <v>0</v>
      </c>
      <c r="U25" s="28">
        <f>PROGRAMADO!U25/'Anexo '!$D$23</f>
        <v>0</v>
      </c>
      <c r="V25" s="28">
        <f>PROGRAMADO!V25/'Anexo '!$D$23</f>
        <v>977618.04069698125</v>
      </c>
      <c r="W25" s="28">
        <f>PROGRAMADO!W25/'Anexo '!$E$23</f>
        <v>0</v>
      </c>
      <c r="X25" s="28">
        <f>PROGRAMADO!X25/'Anexo '!$E$23</f>
        <v>1374504.7300891038</v>
      </c>
      <c r="Y25" s="28">
        <f>PROGRAMADO!Y25/'Anexo '!$E$23</f>
        <v>1374504.7300891038</v>
      </c>
      <c r="Z25" s="28">
        <f>PROGRAMADO!Z25/'Anexo '!$E$23</f>
        <v>0</v>
      </c>
      <c r="AA25" s="28">
        <f>PROGRAMADO!AA25/'Anexo '!$E$23</f>
        <v>0</v>
      </c>
      <c r="AB25" s="28">
        <f>PROGRAMADO!AB25/'Anexo '!$E$23</f>
        <v>0</v>
      </c>
      <c r="AC25" s="28">
        <f>PROGRAMADO!AC25/'Anexo '!$E$23</f>
        <v>1374504.7300891038</v>
      </c>
      <c r="AD25" s="28">
        <f>PROGRAMADO!AD25/'Anexo '!$F$23</f>
        <v>0</v>
      </c>
      <c r="AE25" s="28">
        <f>PROGRAMADO!AE25/'Anexo '!$F$23</f>
        <v>1309049.5162208308</v>
      </c>
      <c r="AF25" s="28">
        <f>PROGRAMADO!AF25/'Anexo '!$F$23</f>
        <v>1309049.5162208308</v>
      </c>
      <c r="AG25" s="28">
        <f>PROGRAMADO!AG25/'Anexo '!$F$23</f>
        <v>0</v>
      </c>
      <c r="AH25" s="28">
        <f>PROGRAMADO!AH25/'Anexo '!$F$23</f>
        <v>0</v>
      </c>
      <c r="AI25" s="28">
        <f>PROGRAMADO!AI25/'Anexo '!$F$23</f>
        <v>0</v>
      </c>
      <c r="AJ25" s="28">
        <f>PROGRAMADO!AJ25/'Anexo '!$F$23</f>
        <v>1309049.5162208308</v>
      </c>
      <c r="AK25" s="28">
        <f>PROGRAMADO!AK25/'Anexo '!$G$23</f>
        <v>0</v>
      </c>
      <c r="AL25" s="28">
        <f>PROGRAMADO!AL25/'Anexo '!$G$23</f>
        <v>1246713.82497222</v>
      </c>
      <c r="AM25" s="28">
        <f>PROGRAMADO!AM25/'Anexo '!$G$23</f>
        <v>1246713.82497222</v>
      </c>
      <c r="AN25" s="28">
        <f>PROGRAMADO!AN25/'Anexo '!$G$23</f>
        <v>0</v>
      </c>
      <c r="AO25" s="28">
        <f>PROGRAMADO!AO25/'Anexo '!$G$23</f>
        <v>0</v>
      </c>
      <c r="AP25" s="28">
        <f>PROGRAMADO!AP25/'Anexo '!$G$23</f>
        <v>0</v>
      </c>
      <c r="AQ25" s="28">
        <f>PROGRAMADO!AQ25/'Anexo '!$G$23</f>
        <v>1246713.82497222</v>
      </c>
      <c r="AR25" s="28">
        <f>PROGRAMADO!AR25/'Anexo '!$H$23</f>
        <v>0</v>
      </c>
      <c r="AS25" s="28">
        <f>PROGRAMADO!AS25/'Anexo '!$H$23</f>
        <v>1200615.3242583328</v>
      </c>
      <c r="AT25" s="28">
        <f>PROGRAMADO!AT25/'Anexo '!$H$23</f>
        <v>1200615.3242583328</v>
      </c>
      <c r="AU25" s="28">
        <f>PROGRAMADO!AU25/'Anexo '!$H$23</f>
        <v>0</v>
      </c>
      <c r="AV25" s="28">
        <f>PROGRAMADO!AV25/'Anexo '!$H$23</f>
        <v>0</v>
      </c>
      <c r="AW25" s="28">
        <f>PROGRAMADO!AW25/'Anexo '!$H$23</f>
        <v>0</v>
      </c>
      <c r="AX25" s="28">
        <f>PROGRAMADO!AX25/'Anexo '!$H$23</f>
        <v>1200615.3242583328</v>
      </c>
      <c r="AY25" s="28">
        <f>PROGRAMADO!AY25/'Anexo '!$I$23</f>
        <v>0</v>
      </c>
      <c r="AZ25" s="28">
        <f>PROGRAMADO!AZ25/'Anexo '!$I$23</f>
        <v>1599526.1245938386</v>
      </c>
      <c r="BA25" s="28">
        <f>PROGRAMADO!BA25/'Anexo '!$I$23</f>
        <v>1599526.1245938386</v>
      </c>
      <c r="BB25" s="28">
        <f>PROGRAMADO!BB25/'Anexo '!$I$23</f>
        <v>0</v>
      </c>
      <c r="BC25" s="28">
        <f>PROGRAMADO!BC25/'Anexo '!$I$23</f>
        <v>0</v>
      </c>
      <c r="BD25" s="28">
        <f>PROGRAMADO!BD25/'Anexo '!$I$23</f>
        <v>0</v>
      </c>
      <c r="BE25" s="28">
        <f>PROGRAMADO!BE25/'Anexo '!$I$23</f>
        <v>1599526.1245938386</v>
      </c>
      <c r="BF25" s="28">
        <f>PROGRAMADO!BF25/'Anexo '!$J$23</f>
        <v>0</v>
      </c>
      <c r="BG25" s="28">
        <f>PROGRAMADO!BG25/'Anexo '!$J$23</f>
        <v>1535838.9054335</v>
      </c>
      <c r="BH25" s="28">
        <f>PROGRAMADO!BH25/'Anexo '!$J$23</f>
        <v>1535838.9054335</v>
      </c>
      <c r="BI25" s="28">
        <f>PROGRAMADO!BI25/'Anexo '!$J$23</f>
        <v>0</v>
      </c>
      <c r="BJ25" s="28">
        <f>PROGRAMADO!BJ25/'Anexo '!$J$23</f>
        <v>0</v>
      </c>
      <c r="BK25" s="28">
        <f>PROGRAMADO!BK25/'Anexo '!$J$23</f>
        <v>0</v>
      </c>
      <c r="BL25" s="28">
        <f>PROGRAMADO!BL25/'Anexo '!$J$23</f>
        <v>1535838.9054335</v>
      </c>
      <c r="BM25" s="28">
        <f>PROGRAMADO!BM25/'Anexo '!$K$23</f>
        <v>0</v>
      </c>
      <c r="BN25" s="28">
        <f>PROGRAMADO!BN25/'Anexo '!$K$23</f>
        <v>1535833.3593467802</v>
      </c>
      <c r="BO25" s="28">
        <f>PROGRAMADO!BO25/'Anexo '!$K$23</f>
        <v>1535833.3593467802</v>
      </c>
      <c r="BP25" s="28">
        <f>PROGRAMADO!BP25/'Anexo '!$K$23</f>
        <v>0</v>
      </c>
      <c r="BQ25" s="28">
        <f>PROGRAMADO!BQ25/'Anexo '!$K$23</f>
        <v>0</v>
      </c>
      <c r="BR25" s="28">
        <f>PROGRAMADO!BR25/'Anexo '!$K$23</f>
        <v>0</v>
      </c>
      <c r="BS25" s="28">
        <f>PROGRAMADO!BS25/'Anexo '!$K$23</f>
        <v>1535833.3593467802</v>
      </c>
      <c r="BT25" s="28">
        <f>PROGRAMADO!BT25/'Anexo '!$L$23</f>
        <v>0</v>
      </c>
      <c r="BU25" s="28">
        <f>PROGRAMADO!BU25/'Anexo '!$L$23</f>
        <v>1486407.861823525</v>
      </c>
      <c r="BV25" s="28">
        <f>PROGRAMADO!BV25/'Anexo '!$L$23</f>
        <v>0</v>
      </c>
      <c r="BW25" s="28">
        <f>PROGRAMADO!BW25/'Anexo '!$L$23</f>
        <v>1486407.861823525</v>
      </c>
      <c r="BX25" s="28">
        <f>PROGRAMADO!BX25/'Anexo '!$L$23</f>
        <v>0</v>
      </c>
      <c r="BY25" s="28">
        <f>PROGRAMADO!BY25/'Anexo '!$L$23</f>
        <v>0</v>
      </c>
      <c r="BZ25" s="28">
        <f>PROGRAMADO!BZ25/'Anexo '!$L$23</f>
        <v>0</v>
      </c>
      <c r="CA25" s="28">
        <f>PROGRAMADO!CA25/'Anexo '!$L$23</f>
        <v>1486407.861823525</v>
      </c>
      <c r="CB25" s="28">
        <f>PROGRAMADO!CB25/'Anexo '!$M$23</f>
        <v>0</v>
      </c>
      <c r="CC25" s="28">
        <f>PROGRAMADO!CC25/'Anexo '!$M$23</f>
        <v>1659567.0711943905</v>
      </c>
      <c r="CD25" s="28">
        <f>PROGRAMADO!CD25/'Anexo '!$M$23</f>
        <v>0</v>
      </c>
      <c r="CE25" s="28">
        <f>PROGRAMADO!CE25/'Anexo '!$M$23</f>
        <v>1659567.0711943905</v>
      </c>
      <c r="CF25" s="28">
        <f>PROGRAMADO!CF25/'Anexo '!$M$23</f>
        <v>0</v>
      </c>
      <c r="CG25" s="28">
        <f>PROGRAMADO!CG25/'Anexo '!$M$23</f>
        <v>0</v>
      </c>
      <c r="CH25" s="28">
        <f>PROGRAMADO!CH25/'Anexo '!$M$23</f>
        <v>0</v>
      </c>
      <c r="CI25" s="29">
        <f>PROGRAMADO!CI25/'Anexo '!$M$23</f>
        <v>1659567.0711943905</v>
      </c>
    </row>
    <row r="26" spans="1:87" x14ac:dyDescent="0.25">
      <c r="A26" s="15" t="s">
        <v>17</v>
      </c>
      <c r="B26" s="27">
        <f>PROGRAMADO!B26/'Anexo '!$B$23</f>
        <v>0</v>
      </c>
      <c r="C26" s="28">
        <f>PROGRAMADO!C26/'Anexo '!$B$23</f>
        <v>0</v>
      </c>
      <c r="D26" s="28">
        <f>PROGRAMADO!D26/'Anexo '!$B$23</f>
        <v>0</v>
      </c>
      <c r="E26" s="28">
        <f>PROGRAMADO!E26/'Anexo '!$B$23</f>
        <v>0</v>
      </c>
      <c r="F26" s="28">
        <f>PROGRAMADO!F26/'Anexo '!$B$23</f>
        <v>0</v>
      </c>
      <c r="G26" s="28">
        <f>PROGRAMADO!G26/'Anexo '!$B$23</f>
        <v>0</v>
      </c>
      <c r="H26" s="28">
        <f>PROGRAMADO!H26/'Anexo '!$B$23</f>
        <v>0</v>
      </c>
      <c r="I26" s="28">
        <f>PROGRAMADO!I26/'Anexo '!$C$23</f>
        <v>0</v>
      </c>
      <c r="J26" s="28">
        <f>PROGRAMADO!J26/'Anexo '!$C$23</f>
        <v>0</v>
      </c>
      <c r="K26" s="28">
        <f>PROGRAMADO!K26/'Anexo '!$C$23</f>
        <v>0</v>
      </c>
      <c r="L26" s="28">
        <f>PROGRAMADO!L26/'Anexo '!$C$23</f>
        <v>0</v>
      </c>
      <c r="M26" s="28">
        <f>PROGRAMADO!M26/'Anexo '!$C$23</f>
        <v>0</v>
      </c>
      <c r="N26" s="28">
        <f>PROGRAMADO!N26/'Anexo '!$C$23</f>
        <v>0</v>
      </c>
      <c r="O26" s="28">
        <f>PROGRAMADO!O26/'Anexo '!$C$23</f>
        <v>0</v>
      </c>
      <c r="P26" s="28">
        <f>PROGRAMADO!P26/'Anexo '!$D$23</f>
        <v>0</v>
      </c>
      <c r="Q26" s="28">
        <f>PROGRAMADO!Q26/'Anexo '!$D$23</f>
        <v>2622778.011331907</v>
      </c>
      <c r="R26" s="28">
        <f>PROGRAMADO!R26/'Anexo '!$D$23</f>
        <v>2622778.011331907</v>
      </c>
      <c r="S26" s="28">
        <f>PROGRAMADO!S26/'Anexo '!$D$23</f>
        <v>0</v>
      </c>
      <c r="T26" s="28">
        <f>PROGRAMADO!T26/'Anexo '!$D$23</f>
        <v>0</v>
      </c>
      <c r="U26" s="28">
        <f>PROGRAMADO!U26/'Anexo '!$D$23</f>
        <v>0</v>
      </c>
      <c r="V26" s="28">
        <f>PROGRAMADO!V26/'Anexo '!$D$23</f>
        <v>2622778.011331907</v>
      </c>
      <c r="W26" s="28">
        <f>PROGRAMADO!W26/'Anexo '!$E$23</f>
        <v>0</v>
      </c>
      <c r="X26" s="28">
        <f>PROGRAMADO!X26/'Anexo '!$E$23</f>
        <v>597610.75221265387</v>
      </c>
      <c r="Y26" s="28">
        <f>PROGRAMADO!Y26/'Anexo '!$E$23</f>
        <v>597610.75221265387</v>
      </c>
      <c r="Z26" s="28">
        <f>PROGRAMADO!Z26/'Anexo '!$E$23</f>
        <v>0</v>
      </c>
      <c r="AA26" s="28">
        <f>PROGRAMADO!AA26/'Anexo '!$E$23</f>
        <v>0</v>
      </c>
      <c r="AB26" s="28">
        <f>PROGRAMADO!AB26/'Anexo '!$E$23</f>
        <v>0</v>
      </c>
      <c r="AC26" s="28">
        <f>PROGRAMADO!AC26/'Anexo '!$E$23</f>
        <v>597610.75221265387</v>
      </c>
      <c r="AD26" s="28">
        <f>PROGRAMADO!AD26/'Anexo '!$F$23</f>
        <v>0</v>
      </c>
      <c r="AE26" s="28">
        <f>PROGRAMADO!AE26/'Anexo '!$F$23</f>
        <v>569151.96357427433</v>
      </c>
      <c r="AF26" s="28">
        <f>PROGRAMADO!AF26/'Anexo '!$F$23</f>
        <v>569151.96357427433</v>
      </c>
      <c r="AG26" s="28">
        <f>PROGRAMADO!AG26/'Anexo '!$F$23</f>
        <v>0</v>
      </c>
      <c r="AH26" s="28">
        <f>PROGRAMADO!AH26/'Anexo '!$F$23</f>
        <v>0</v>
      </c>
      <c r="AI26" s="28">
        <f>PROGRAMADO!AI26/'Anexo '!$F$23</f>
        <v>0</v>
      </c>
      <c r="AJ26" s="28">
        <f>PROGRAMADO!AJ26/'Anexo '!$F$23</f>
        <v>569151.96357427433</v>
      </c>
      <c r="AK26" s="28">
        <f>PROGRAMADO!AK26/'Anexo '!$G$23</f>
        <v>0</v>
      </c>
      <c r="AL26" s="28">
        <f>PROGRAMADO!AL26/'Anexo '!$G$23</f>
        <v>0</v>
      </c>
      <c r="AM26" s="28">
        <f>PROGRAMADO!AM26/'Anexo '!$G$23</f>
        <v>0</v>
      </c>
      <c r="AN26" s="28">
        <f>PROGRAMADO!AN26/'Anexo '!$G$23</f>
        <v>0</v>
      </c>
      <c r="AO26" s="28">
        <f>PROGRAMADO!AO26/'Anexo '!$G$23</f>
        <v>0</v>
      </c>
      <c r="AP26" s="28">
        <f>PROGRAMADO!AP26/'Anexo '!$G$23</f>
        <v>0</v>
      </c>
      <c r="AQ26" s="28">
        <f>PROGRAMADO!AQ26/'Anexo '!$G$23</f>
        <v>0</v>
      </c>
      <c r="AR26" s="28">
        <f>PROGRAMADO!AR26/'Anexo '!$H$23</f>
        <v>0</v>
      </c>
      <c r="AS26" s="28">
        <f>PROGRAMADO!AS26/'Anexo '!$H$23</f>
        <v>0</v>
      </c>
      <c r="AT26" s="28">
        <f>PROGRAMADO!AT26/'Anexo '!$H$23</f>
        <v>0</v>
      </c>
      <c r="AU26" s="28">
        <f>PROGRAMADO!AU26/'Anexo '!$H$23</f>
        <v>0</v>
      </c>
      <c r="AV26" s="28">
        <f>PROGRAMADO!AV26/'Anexo '!$H$23</f>
        <v>0</v>
      </c>
      <c r="AW26" s="28">
        <f>PROGRAMADO!AW26/'Anexo '!$H$23</f>
        <v>0</v>
      </c>
      <c r="AX26" s="28">
        <f>PROGRAMADO!AX26/'Anexo '!$H$23</f>
        <v>0</v>
      </c>
      <c r="AY26" s="28">
        <f>PROGRAMADO!AY26/'Anexo '!$I$23</f>
        <v>0</v>
      </c>
      <c r="AZ26" s="28">
        <f>PROGRAMADO!AZ26/'Anexo '!$I$23</f>
        <v>0</v>
      </c>
      <c r="BA26" s="28">
        <f>PROGRAMADO!BA26/'Anexo '!$I$23</f>
        <v>0</v>
      </c>
      <c r="BB26" s="28">
        <f>PROGRAMADO!BB26/'Anexo '!$I$23</f>
        <v>0</v>
      </c>
      <c r="BC26" s="28">
        <f>PROGRAMADO!BC26/'Anexo '!$I$23</f>
        <v>0</v>
      </c>
      <c r="BD26" s="28">
        <f>PROGRAMADO!BD26/'Anexo '!$I$23</f>
        <v>0</v>
      </c>
      <c r="BE26" s="28">
        <f>PROGRAMADO!BE26/'Anexo '!$I$23</f>
        <v>0</v>
      </c>
      <c r="BF26" s="28">
        <f>PROGRAMADO!BF26/'Anexo '!$J$23</f>
        <v>0</v>
      </c>
      <c r="BG26" s="28">
        <f>PROGRAMADO!BG26/'Anexo '!$J$23</f>
        <v>0</v>
      </c>
      <c r="BH26" s="28">
        <f>PROGRAMADO!BH26/'Anexo '!$J$23</f>
        <v>0</v>
      </c>
      <c r="BI26" s="28">
        <f>PROGRAMADO!BI26/'Anexo '!$J$23</f>
        <v>0</v>
      </c>
      <c r="BJ26" s="28">
        <f>PROGRAMADO!BJ26/'Anexo '!$J$23</f>
        <v>0</v>
      </c>
      <c r="BK26" s="28">
        <f>PROGRAMADO!BK26/'Anexo '!$J$23</f>
        <v>0</v>
      </c>
      <c r="BL26" s="28">
        <f>PROGRAMADO!BL26/'Anexo '!$J$23</f>
        <v>0</v>
      </c>
      <c r="BM26" s="28">
        <f>PROGRAMADO!BM26/'Anexo '!$K$23</f>
        <v>0</v>
      </c>
      <c r="BN26" s="28">
        <f>PROGRAMADO!BN26/'Anexo '!$K$23</f>
        <v>0</v>
      </c>
      <c r="BO26" s="28">
        <f>PROGRAMADO!BO26/'Anexo '!$K$23</f>
        <v>0</v>
      </c>
      <c r="BP26" s="28">
        <f>PROGRAMADO!BP26/'Anexo '!$K$23</f>
        <v>0</v>
      </c>
      <c r="BQ26" s="28">
        <f>PROGRAMADO!BQ26/'Anexo '!$K$23</f>
        <v>0</v>
      </c>
      <c r="BR26" s="28">
        <f>PROGRAMADO!BR26/'Anexo '!$K$23</f>
        <v>0</v>
      </c>
      <c r="BS26" s="28">
        <f>PROGRAMADO!BS26/'Anexo '!$K$23</f>
        <v>0</v>
      </c>
      <c r="BT26" s="28">
        <f>PROGRAMADO!BT26/'Anexo '!$L$23</f>
        <v>0</v>
      </c>
      <c r="BU26" s="28">
        <f>PROGRAMADO!BU26/'Anexo '!$L$23</f>
        <v>0</v>
      </c>
      <c r="BV26" s="28">
        <f>PROGRAMADO!BV26/'Anexo '!$L$23</f>
        <v>0</v>
      </c>
      <c r="BW26" s="28">
        <f>PROGRAMADO!BW26/'Anexo '!$L$23</f>
        <v>0</v>
      </c>
      <c r="BX26" s="28">
        <f>PROGRAMADO!BX26/'Anexo '!$L$23</f>
        <v>0</v>
      </c>
      <c r="BY26" s="28">
        <f>PROGRAMADO!BY26/'Anexo '!$L$23</f>
        <v>0</v>
      </c>
      <c r="BZ26" s="28">
        <f>PROGRAMADO!BZ26/'Anexo '!$L$23</f>
        <v>0</v>
      </c>
      <c r="CA26" s="28">
        <f>PROGRAMADO!CA26/'Anexo '!$L$23</f>
        <v>0</v>
      </c>
      <c r="CB26" s="28">
        <f>PROGRAMADO!CB26/'Anexo '!$M$23</f>
        <v>0</v>
      </c>
      <c r="CC26" s="28">
        <f>PROGRAMADO!CC26/'Anexo '!$M$23</f>
        <v>0</v>
      </c>
      <c r="CD26" s="28">
        <f>PROGRAMADO!CD26/'Anexo '!$M$23</f>
        <v>0</v>
      </c>
      <c r="CE26" s="28">
        <f>PROGRAMADO!CE26/'Anexo '!$M$23</f>
        <v>0</v>
      </c>
      <c r="CF26" s="28">
        <f>PROGRAMADO!CF26/'Anexo '!$M$23</f>
        <v>94000.874499109923</v>
      </c>
      <c r="CG26" s="28">
        <f>PROGRAMADO!CG26/'Anexo '!$M$23</f>
        <v>0</v>
      </c>
      <c r="CH26" s="28">
        <f>PROGRAMADO!CH26/'Anexo '!$M$23</f>
        <v>94000.874499109923</v>
      </c>
      <c r="CI26" s="29">
        <f>PROGRAMADO!CI26/'Anexo '!$M$23</f>
        <v>94000.874499109923</v>
      </c>
    </row>
    <row r="27" spans="1:87" x14ac:dyDescent="0.25">
      <c r="A27" s="15" t="s">
        <v>18</v>
      </c>
      <c r="B27" s="27">
        <f>PROGRAMADO!B27/'Anexo '!$B$23</f>
        <v>0</v>
      </c>
      <c r="C27" s="28">
        <f>PROGRAMADO!C27/'Anexo '!$B$23</f>
        <v>0</v>
      </c>
      <c r="D27" s="28">
        <f>PROGRAMADO!D27/'Anexo '!$B$23</f>
        <v>0</v>
      </c>
      <c r="E27" s="28">
        <f>PROGRAMADO!E27/'Anexo '!$B$23</f>
        <v>0</v>
      </c>
      <c r="F27" s="28">
        <f>PROGRAMADO!F27/'Anexo '!$B$23</f>
        <v>0</v>
      </c>
      <c r="G27" s="28">
        <f>PROGRAMADO!G27/'Anexo '!$B$23</f>
        <v>0</v>
      </c>
      <c r="H27" s="28">
        <f>PROGRAMADO!H27/'Anexo '!$B$23</f>
        <v>0</v>
      </c>
      <c r="I27" s="28">
        <f>PROGRAMADO!I27/'Anexo '!$C$23</f>
        <v>0</v>
      </c>
      <c r="J27" s="28">
        <f>PROGRAMADO!J27/'Anexo '!$C$23</f>
        <v>0</v>
      </c>
      <c r="K27" s="28">
        <f>PROGRAMADO!K27/'Anexo '!$C$23</f>
        <v>0</v>
      </c>
      <c r="L27" s="28">
        <f>PROGRAMADO!L27/'Anexo '!$C$23</f>
        <v>0</v>
      </c>
      <c r="M27" s="28">
        <f>PROGRAMADO!M27/'Anexo '!$C$23</f>
        <v>0</v>
      </c>
      <c r="N27" s="28">
        <f>PROGRAMADO!N27/'Anexo '!$C$23</f>
        <v>0</v>
      </c>
      <c r="O27" s="28">
        <f>PROGRAMADO!O27/'Anexo '!$C$23</f>
        <v>0</v>
      </c>
      <c r="P27" s="28">
        <f>PROGRAMADO!P27/'Anexo '!$D$23</f>
        <v>0</v>
      </c>
      <c r="Q27" s="28">
        <f>PROGRAMADO!Q27/'Anexo '!$D$23</f>
        <v>0</v>
      </c>
      <c r="R27" s="28">
        <f>PROGRAMADO!R27/'Anexo '!$D$23</f>
        <v>0</v>
      </c>
      <c r="S27" s="28">
        <f>PROGRAMADO!S27/'Anexo '!$D$23</f>
        <v>0</v>
      </c>
      <c r="T27" s="28">
        <f>PROGRAMADO!T27/'Anexo '!$D$23</f>
        <v>344120.27131320862</v>
      </c>
      <c r="U27" s="28">
        <f>PROGRAMADO!U27/'Anexo '!$D$23</f>
        <v>344120.27131320862</v>
      </c>
      <c r="V27" s="28">
        <f>PROGRAMADO!V27/'Anexo '!$D$23</f>
        <v>344120.27131320862</v>
      </c>
      <c r="W27" s="28">
        <f>PROGRAMADO!W27/'Anexo '!$E$23</f>
        <v>0</v>
      </c>
      <c r="X27" s="28">
        <f>PROGRAMADO!X27/'Anexo '!$E$23</f>
        <v>6693.240424781723</v>
      </c>
      <c r="Y27" s="28">
        <f>PROGRAMADO!Y27/'Anexo '!$E$23</f>
        <v>6693.240424781723</v>
      </c>
      <c r="Z27" s="28">
        <f>PROGRAMADO!Z27/'Anexo '!$E$23</f>
        <v>39741.115022141479</v>
      </c>
      <c r="AA27" s="28">
        <f>PROGRAMADO!AA27/'Anexo '!$E$23</f>
        <v>191235.44070804922</v>
      </c>
      <c r="AB27" s="28">
        <f>PROGRAMADO!AB27/'Anexo '!$E$23</f>
        <v>230976.55573019071</v>
      </c>
      <c r="AC27" s="28">
        <f>PROGRAMADO!AC27/'Anexo '!$E$23</f>
        <v>237669.79615497243</v>
      </c>
      <c r="AD27" s="28">
        <f>PROGRAMADO!AD27/'Anexo '!$F$23</f>
        <v>0</v>
      </c>
      <c r="AE27" s="28">
        <f>PROGRAMADO!AE27/'Anexo '!$F$23</f>
        <v>6545.247581104155</v>
      </c>
      <c r="AF27" s="28">
        <f>PROGRAMADO!AF27/'Anexo '!$F$23</f>
        <v>6545.247581104155</v>
      </c>
      <c r="AG27" s="28">
        <f>PROGRAMADO!AG27/'Anexo '!$F$23</f>
        <v>37848.605577689239</v>
      </c>
      <c r="AH27" s="28">
        <f>PROGRAMADO!AH27/'Anexo '!$F$23</f>
        <v>1787450.1992031871</v>
      </c>
      <c r="AI27" s="28">
        <f>PROGRAMADO!AI27/'Anexo '!$F$23</f>
        <v>1825298.8047808767</v>
      </c>
      <c r="AJ27" s="28">
        <f>PROGRAMADO!AJ27/'Anexo '!$F$23</f>
        <v>1831844.0523619803</v>
      </c>
      <c r="AK27" s="28">
        <f>PROGRAMADO!AK27/'Anexo '!$G$23</f>
        <v>0</v>
      </c>
      <c r="AL27" s="28">
        <f>PROGRAMADO!AL27/'Anexo '!$G$23</f>
        <v>6233.5691248611001</v>
      </c>
      <c r="AM27" s="28">
        <f>PROGRAMADO!AM27/'Anexo '!$G$23</f>
        <v>6233.5691248611001</v>
      </c>
      <c r="AN27" s="28">
        <f>PROGRAMADO!AN27/'Anexo '!$G$23</f>
        <v>36046.291026370709</v>
      </c>
      <c r="AO27" s="28">
        <f>PROGRAMADO!AO27/'Anexo '!$G$23</f>
        <v>5012494.240724178</v>
      </c>
      <c r="AP27" s="28">
        <f>PROGRAMADO!AP27/'Anexo '!$G$23</f>
        <v>5048540.5317505486</v>
      </c>
      <c r="AQ27" s="28">
        <f>PROGRAMADO!AQ27/'Anexo '!$G$23</f>
        <v>5054774.1008754103</v>
      </c>
      <c r="AR27" s="28">
        <f>PROGRAMADO!AR27/'Anexo '!$H$23</f>
        <v>0</v>
      </c>
      <c r="AS27" s="28">
        <f>PROGRAMADO!AS27/'Anexo '!$H$23</f>
        <v>0</v>
      </c>
      <c r="AT27" s="28">
        <f>PROGRAMADO!AT27/'Anexo '!$H$23</f>
        <v>0</v>
      </c>
      <c r="AU27" s="28">
        <f>PROGRAMADO!AU27/'Anexo '!$H$23</f>
        <v>0</v>
      </c>
      <c r="AV27" s="28">
        <f>PROGRAMADO!AV27/'Anexo '!$H$23</f>
        <v>0</v>
      </c>
      <c r="AW27" s="28">
        <f>PROGRAMADO!AW27/'Anexo '!$H$23</f>
        <v>0</v>
      </c>
      <c r="AX27" s="28">
        <f>PROGRAMADO!AX27/'Anexo '!$H$23</f>
        <v>0</v>
      </c>
      <c r="AY27" s="28">
        <f>PROGRAMADO!AY27/'Anexo '!$I$23</f>
        <v>0</v>
      </c>
      <c r="AZ27" s="28">
        <f>PROGRAMADO!AZ27/'Anexo '!$I$23</f>
        <v>0</v>
      </c>
      <c r="BA27" s="28">
        <f>PROGRAMADO!BA27/'Anexo '!$I$23</f>
        <v>0</v>
      </c>
      <c r="BB27" s="28">
        <f>PROGRAMADO!BB27/'Anexo '!$I$23</f>
        <v>0</v>
      </c>
      <c r="BC27" s="28">
        <f>PROGRAMADO!BC27/'Anexo '!$I$23</f>
        <v>0</v>
      </c>
      <c r="BD27" s="28">
        <f>PROGRAMADO!BD27/'Anexo '!$I$23</f>
        <v>0</v>
      </c>
      <c r="BE27" s="28">
        <f>PROGRAMADO!BE27/'Anexo '!$I$23</f>
        <v>0</v>
      </c>
      <c r="BF27" s="28">
        <f>PROGRAMADO!BF27/'Anexo '!$J$23</f>
        <v>0</v>
      </c>
      <c r="BG27" s="28">
        <f>PROGRAMADO!BG27/'Anexo '!$J$23</f>
        <v>0</v>
      </c>
      <c r="BH27" s="28">
        <f>PROGRAMADO!BH27/'Anexo '!$J$23</f>
        <v>0</v>
      </c>
      <c r="BI27" s="28">
        <f>PROGRAMADO!BI27/'Anexo '!$J$23</f>
        <v>0</v>
      </c>
      <c r="BJ27" s="28">
        <f>PROGRAMADO!BJ27/'Anexo '!$J$23</f>
        <v>0</v>
      </c>
      <c r="BK27" s="28">
        <f>PROGRAMADO!BK27/'Anexo '!$J$23</f>
        <v>0</v>
      </c>
      <c r="BL27" s="28">
        <f>PROGRAMADO!BL27/'Anexo '!$J$23</f>
        <v>0</v>
      </c>
      <c r="BM27" s="28">
        <f>PROGRAMADO!BM27/'Anexo '!$K$23</f>
        <v>0</v>
      </c>
      <c r="BN27" s="28">
        <f>PROGRAMADO!BN27/'Anexo '!$K$23</f>
        <v>0</v>
      </c>
      <c r="BO27" s="28">
        <f>PROGRAMADO!BO27/'Anexo '!$K$23</f>
        <v>0</v>
      </c>
      <c r="BP27" s="28">
        <f>PROGRAMADO!BP27/'Anexo '!$K$23</f>
        <v>0</v>
      </c>
      <c r="BQ27" s="28">
        <f>PROGRAMADO!BQ27/'Anexo '!$K$23</f>
        <v>0</v>
      </c>
      <c r="BR27" s="28">
        <f>PROGRAMADO!BR27/'Anexo '!$K$23</f>
        <v>0</v>
      </c>
      <c r="BS27" s="28">
        <f>PROGRAMADO!BS27/'Anexo '!$K$23</f>
        <v>0</v>
      </c>
      <c r="BT27" s="28">
        <f>PROGRAMADO!BT27/'Anexo '!$L$23</f>
        <v>0</v>
      </c>
      <c r="BU27" s="28">
        <f>PROGRAMADO!BU27/'Anexo '!$L$23</f>
        <v>0</v>
      </c>
      <c r="BV27" s="28">
        <f>PROGRAMADO!BV27/'Anexo '!$L$23</f>
        <v>0</v>
      </c>
      <c r="BW27" s="28">
        <f>PROGRAMADO!BW27/'Anexo '!$L$23</f>
        <v>0</v>
      </c>
      <c r="BX27" s="28">
        <f>PROGRAMADO!BX27/'Anexo '!$L$23</f>
        <v>0</v>
      </c>
      <c r="BY27" s="28">
        <f>PROGRAMADO!BY27/'Anexo '!$L$23</f>
        <v>0</v>
      </c>
      <c r="BZ27" s="28">
        <f>PROGRAMADO!BZ27/'Anexo '!$L$23</f>
        <v>0</v>
      </c>
      <c r="CA27" s="28">
        <f>PROGRAMADO!CA27/'Anexo '!$L$23</f>
        <v>0</v>
      </c>
      <c r="CB27" s="28">
        <f>PROGRAMADO!CB27/'Anexo '!$M$23</f>
        <v>0</v>
      </c>
      <c r="CC27" s="28">
        <f>PROGRAMADO!CC27/'Anexo '!$M$23</f>
        <v>0</v>
      </c>
      <c r="CD27" s="28">
        <f>PROGRAMADO!CD27/'Anexo '!$M$23</f>
        <v>0</v>
      </c>
      <c r="CE27" s="28">
        <f>PROGRAMADO!CE27/'Anexo '!$M$23</f>
        <v>0</v>
      </c>
      <c r="CF27" s="28">
        <f>PROGRAMADO!CF27/'Anexo '!$M$23</f>
        <v>0</v>
      </c>
      <c r="CG27" s="28">
        <f>PROGRAMADO!CG27/'Anexo '!$M$23</f>
        <v>0</v>
      </c>
      <c r="CH27" s="28">
        <f>PROGRAMADO!CH27/'Anexo '!$M$23</f>
        <v>0</v>
      </c>
      <c r="CI27" s="29">
        <f>PROGRAMADO!CI27/'Anexo '!$M$23</f>
        <v>0</v>
      </c>
    </row>
    <row r="28" spans="1:87" x14ac:dyDescent="0.25">
      <c r="A28" s="15" t="s">
        <v>19</v>
      </c>
      <c r="B28" s="27">
        <f>PROGRAMADO!B28/'Anexo '!$B$23</f>
        <v>0</v>
      </c>
      <c r="C28" s="28">
        <f>PROGRAMADO!C28/'Anexo '!$B$23</f>
        <v>375404.3490769263</v>
      </c>
      <c r="D28" s="28">
        <f>PROGRAMADO!D28/'Anexo '!$B$23</f>
        <v>375404.3490769263</v>
      </c>
      <c r="E28" s="28">
        <f>PROGRAMADO!E28/'Anexo '!$B$23</f>
        <v>0</v>
      </c>
      <c r="F28" s="28">
        <f>PROGRAMADO!F28/'Anexo '!$B$23</f>
        <v>1594240.5254257505</v>
      </c>
      <c r="G28" s="28">
        <f>PROGRAMADO!G28/'Anexo '!$B$23</f>
        <v>1594240.5254257505</v>
      </c>
      <c r="H28" s="28">
        <f>PROGRAMADO!H28/'Anexo '!$B$23</f>
        <v>1969644.8745026768</v>
      </c>
      <c r="I28" s="28">
        <f>PROGRAMADO!I28/'Anexo '!$C$23</f>
        <v>0</v>
      </c>
      <c r="J28" s="28">
        <f>PROGRAMADO!J28/'Anexo '!$C$23</f>
        <v>388065.57088386378</v>
      </c>
      <c r="K28" s="28">
        <f>PROGRAMADO!K28/'Anexo '!$C$23</f>
        <v>388065.57088386378</v>
      </c>
      <c r="L28" s="28">
        <f>PROGRAMADO!L28/'Anexo '!$C$23</f>
        <v>127813.34268919133</v>
      </c>
      <c r="M28" s="28">
        <f>PROGRAMADO!M28/'Anexo '!$C$23</f>
        <v>354816.50161520945</v>
      </c>
      <c r="N28" s="28">
        <f>PROGRAMADO!N28/'Anexo '!$C$23</f>
        <v>482629.84430440079</v>
      </c>
      <c r="O28" s="28">
        <f>PROGRAMADO!O28/'Anexo '!$C$23</f>
        <v>870695.41518826457</v>
      </c>
      <c r="P28" s="28">
        <f>PROGRAMADO!P28/'Anexo '!$D$23</f>
        <v>0</v>
      </c>
      <c r="Q28" s="28">
        <f>PROGRAMADO!Q28/'Anexo '!$D$23</f>
        <v>672253.5184755259</v>
      </c>
      <c r="R28" s="28">
        <f>PROGRAMADO!R28/'Anexo '!$D$23</f>
        <v>672253.5184755259</v>
      </c>
      <c r="S28" s="28">
        <f>PROGRAMADO!S28/'Anexo '!$D$23</f>
        <v>137801.38417423278</v>
      </c>
      <c r="T28" s="28">
        <f>PROGRAMADO!T28/'Anexo '!$D$23</f>
        <v>0</v>
      </c>
      <c r="U28" s="28">
        <f>PROGRAMADO!U28/'Anexo '!$D$23</f>
        <v>137801.38417423278</v>
      </c>
      <c r="V28" s="28">
        <f>PROGRAMADO!V28/'Anexo '!$D$23</f>
        <v>810054.90264975873</v>
      </c>
      <c r="W28" s="28">
        <f>PROGRAMADO!W28/'Anexo '!$E$23</f>
        <v>0</v>
      </c>
      <c r="X28" s="28">
        <f>PROGRAMADO!X28/'Anexo '!$E$23</f>
        <v>721248.40886137227</v>
      </c>
      <c r="Y28" s="28">
        <f>PROGRAMADO!Y28/'Anexo '!$E$23</f>
        <v>721248.40886137227</v>
      </c>
      <c r="Z28" s="28">
        <f>PROGRAMADO!Z28/'Anexo '!$E$23</f>
        <v>152887.71491576676</v>
      </c>
      <c r="AA28" s="28">
        <f>PROGRAMADO!AA28/'Anexo '!$E$23</f>
        <v>59761.075221265382</v>
      </c>
      <c r="AB28" s="28">
        <f>PROGRAMADO!AB28/'Anexo '!$E$23</f>
        <v>212648.79013703213</v>
      </c>
      <c r="AC28" s="28">
        <f>PROGRAMADO!AC28/'Anexo '!$E$23</f>
        <v>933897.19899840443</v>
      </c>
      <c r="AD28" s="28">
        <f>PROGRAMADO!AD28/'Anexo '!$F$23</f>
        <v>0</v>
      </c>
      <c r="AE28" s="28">
        <f>PROGRAMADO!AE28/'Anexo '!$F$23</f>
        <v>890207.39897552645</v>
      </c>
      <c r="AF28" s="28">
        <f>PROGRAMADO!AF28/'Anexo '!$F$23</f>
        <v>890207.39897552645</v>
      </c>
      <c r="AG28" s="28">
        <f>PROGRAMADO!AG28/'Anexo '!$F$23</f>
        <v>2637108.9356858279</v>
      </c>
      <c r="AH28" s="28">
        <f>PROGRAMADO!AH28/'Anexo '!$F$23</f>
        <v>518470.68867387593</v>
      </c>
      <c r="AI28" s="28">
        <f>PROGRAMADO!AI28/'Anexo '!$F$23</f>
        <v>3155579.6243597041</v>
      </c>
      <c r="AJ28" s="28">
        <f>PROGRAMADO!AJ28/'Anexo '!$F$23</f>
        <v>4045787.0233352305</v>
      </c>
      <c r="AK28" s="28">
        <f>PROGRAMADO!AK28/'Anexo '!$G$23</f>
        <v>0</v>
      </c>
      <c r="AL28" s="28">
        <f>PROGRAMADO!AL28/'Anexo '!$G$23</f>
        <v>1116134.9161178416</v>
      </c>
      <c r="AM28" s="28">
        <f>PROGRAMADO!AM28/'Anexo '!$G$23</f>
        <v>1116134.9161178416</v>
      </c>
      <c r="AN28" s="28">
        <f>PROGRAMADO!AN28/'Anexo '!$G$23</f>
        <v>1691097.487600618</v>
      </c>
      <c r="AO28" s="28">
        <f>PROGRAMADO!AO28/'Anexo '!$G$23</f>
        <v>352167.71011193324</v>
      </c>
      <c r="AP28" s="28">
        <f>PROGRAMADO!AP28/'Anexo '!$G$23</f>
        <v>2043265.1977125513</v>
      </c>
      <c r="AQ28" s="28">
        <f>PROGRAMADO!AQ28/'Anexo '!$G$23</f>
        <v>3159400.1138303927</v>
      </c>
      <c r="AR28" s="28">
        <f>PROGRAMADO!AR28/'Anexo '!$H$23</f>
        <v>0</v>
      </c>
      <c r="AS28" s="28">
        <f>PROGRAMADO!AS28/'Anexo '!$H$23</f>
        <v>0</v>
      </c>
      <c r="AT28" s="28">
        <f>PROGRAMADO!AT28/'Anexo '!$H$23</f>
        <v>0</v>
      </c>
      <c r="AU28" s="28">
        <f>PROGRAMADO!AU28/'Anexo '!$H$23</f>
        <v>0</v>
      </c>
      <c r="AV28" s="28">
        <f>PROGRAMADO!AV28/'Anexo '!$H$23</f>
        <v>0</v>
      </c>
      <c r="AW28" s="28">
        <f>PROGRAMADO!AW28/'Anexo '!$H$23</f>
        <v>0</v>
      </c>
      <c r="AX28" s="28">
        <f>PROGRAMADO!AX28/'Anexo '!$H$23</f>
        <v>0</v>
      </c>
      <c r="AY28" s="28">
        <f>PROGRAMADO!AY28/'Anexo '!$I$23</f>
        <v>0</v>
      </c>
      <c r="AZ28" s="28">
        <f>PROGRAMADO!AZ28/'Anexo '!$I$23</f>
        <v>0</v>
      </c>
      <c r="BA28" s="28">
        <f>PROGRAMADO!BA28/'Anexo '!$I$23</f>
        <v>0</v>
      </c>
      <c r="BB28" s="28">
        <f>PROGRAMADO!BB28/'Anexo '!$I$23</f>
        <v>424103.69219727768</v>
      </c>
      <c r="BC28" s="28">
        <f>PROGRAMADO!BC28/'Anexo '!$I$23</f>
        <v>0</v>
      </c>
      <c r="BD28" s="28">
        <f>PROGRAMADO!BD28/'Anexo '!$I$23</f>
        <v>424103.69219727768</v>
      </c>
      <c r="BE28" s="28">
        <f>PROGRAMADO!BE28/'Anexo '!$I$23</f>
        <v>424103.69219727768</v>
      </c>
      <c r="BF28" s="28">
        <f>PROGRAMADO!BF28/'Anexo '!$J$23</f>
        <v>0</v>
      </c>
      <c r="BG28" s="28">
        <f>PROGRAMADO!BG28/'Anexo '!$J$23</f>
        <v>0</v>
      </c>
      <c r="BH28" s="28">
        <f>PROGRAMADO!BH28/'Anexo '!$J$23</f>
        <v>0</v>
      </c>
      <c r="BI28" s="28">
        <f>PROGRAMADO!BI28/'Anexo '!$J$23</f>
        <v>425071.54763911519</v>
      </c>
      <c r="BJ28" s="28">
        <f>PROGRAMADO!BJ28/'Anexo '!$J$23</f>
        <v>0</v>
      </c>
      <c r="BK28" s="28">
        <f>PROGRAMADO!BK28/'Anexo '!$J$23</f>
        <v>425071.54763911519</v>
      </c>
      <c r="BL28" s="28">
        <f>PROGRAMADO!BL28/'Anexo '!$J$23</f>
        <v>425071.54763911519</v>
      </c>
      <c r="BM28" s="28">
        <f>PROGRAMADO!BM28/'Anexo '!$K$23</f>
        <v>0</v>
      </c>
      <c r="BN28" s="28">
        <f>PROGRAMADO!BN28/'Anexo '!$K$23</f>
        <v>0</v>
      </c>
      <c r="BO28" s="28">
        <f>PROGRAMADO!BO28/'Anexo '!$K$23</f>
        <v>0</v>
      </c>
      <c r="BP28" s="28">
        <f>PROGRAMADO!BP28/'Anexo '!$K$23</f>
        <v>1451767.5914075358</v>
      </c>
      <c r="BQ28" s="28">
        <f>PROGRAMADO!BQ28/'Anexo '!$K$23</f>
        <v>0</v>
      </c>
      <c r="BR28" s="28">
        <f>PROGRAMADO!BR28/'Anexo '!$K$23</f>
        <v>1451767.5914075358</v>
      </c>
      <c r="BS28" s="28">
        <f>PROGRAMADO!BS28/'Anexo '!$K$23</f>
        <v>1451767.5914075358</v>
      </c>
      <c r="BT28" s="28">
        <f>PROGRAMADO!BT28/'Anexo '!$L$23</f>
        <v>0</v>
      </c>
      <c r="BU28" s="28">
        <f>PROGRAMADO!BU28/'Anexo '!$L$23</f>
        <v>0</v>
      </c>
      <c r="BV28" s="28">
        <f>PROGRAMADO!BV28/'Anexo '!$L$23</f>
        <v>0</v>
      </c>
      <c r="BW28" s="28">
        <f>PROGRAMADO!BW28/'Anexo '!$L$23</f>
        <v>0</v>
      </c>
      <c r="BX28" s="28">
        <f>PROGRAMADO!BX28/'Anexo '!$L$23</f>
        <v>0</v>
      </c>
      <c r="BY28" s="28">
        <f>PROGRAMADO!BY28/'Anexo '!$L$23</f>
        <v>0</v>
      </c>
      <c r="BZ28" s="28">
        <f>PROGRAMADO!BZ28/'Anexo '!$L$23</f>
        <v>0</v>
      </c>
      <c r="CA28" s="28">
        <f>PROGRAMADO!CA28/'Anexo '!$L$23</f>
        <v>0</v>
      </c>
      <c r="CB28" s="28">
        <f>PROGRAMADO!CB28/'Anexo '!$M$23</f>
        <v>0</v>
      </c>
      <c r="CC28" s="28">
        <f>PROGRAMADO!CC28/'Anexo '!$M$23</f>
        <v>0</v>
      </c>
      <c r="CD28" s="28">
        <f>PROGRAMADO!CD28/'Anexo '!$M$23</f>
        <v>0</v>
      </c>
      <c r="CE28" s="28">
        <f>PROGRAMADO!CE28/'Anexo '!$M$23</f>
        <v>0</v>
      </c>
      <c r="CF28" s="28">
        <f>PROGRAMADO!CF28/'Anexo '!$M$23</f>
        <v>850007.90770471736</v>
      </c>
      <c r="CG28" s="28">
        <f>PROGRAMADO!CG28/'Anexo '!$M$23</f>
        <v>0</v>
      </c>
      <c r="CH28" s="28">
        <f>PROGRAMADO!CH28/'Anexo '!$M$23</f>
        <v>850007.90770471736</v>
      </c>
      <c r="CI28" s="29">
        <f>PROGRAMADO!CI28/'Anexo '!$M$23</f>
        <v>850007.90770471736</v>
      </c>
    </row>
    <row r="29" spans="1:87" x14ac:dyDescent="0.25">
      <c r="A29" s="15" t="s">
        <v>20</v>
      </c>
      <c r="B29" s="27">
        <f>PROGRAMADO!B29/'Anexo '!$B$23</f>
        <v>0</v>
      </c>
      <c r="C29" s="28">
        <f>PROGRAMADO!C29/'Anexo '!$B$23</f>
        <v>0</v>
      </c>
      <c r="D29" s="28">
        <f>PROGRAMADO!D29/'Anexo '!$B$23</f>
        <v>0</v>
      </c>
      <c r="E29" s="28">
        <f>PROGRAMADO!E29/'Anexo '!$B$23</f>
        <v>0</v>
      </c>
      <c r="F29" s="28">
        <f>PROGRAMADO!F29/'Anexo '!$B$23</f>
        <v>0</v>
      </c>
      <c r="G29" s="28">
        <f>PROGRAMADO!G29/'Anexo '!$B$23</f>
        <v>0</v>
      </c>
      <c r="H29" s="28">
        <f>PROGRAMADO!H29/'Anexo '!$B$23</f>
        <v>0</v>
      </c>
      <c r="I29" s="28">
        <f>PROGRAMADO!I29/'Anexo '!$C$23</f>
        <v>0</v>
      </c>
      <c r="J29" s="28">
        <f>PROGRAMADO!J29/'Anexo '!$C$23</f>
        <v>0</v>
      </c>
      <c r="K29" s="28">
        <f>PROGRAMADO!K29/'Anexo '!$C$23</f>
        <v>0</v>
      </c>
      <c r="L29" s="28">
        <f>PROGRAMADO!L29/'Anexo '!$C$23</f>
        <v>0</v>
      </c>
      <c r="M29" s="28">
        <f>PROGRAMADO!M29/'Anexo '!$C$23</f>
        <v>0</v>
      </c>
      <c r="N29" s="28">
        <f>PROGRAMADO!N29/'Anexo '!$C$23</f>
        <v>0</v>
      </c>
      <c r="O29" s="28">
        <f>PROGRAMADO!O29/'Anexo '!$C$23</f>
        <v>0</v>
      </c>
      <c r="P29" s="28">
        <f>PROGRAMADO!P29/'Anexo '!$D$23</f>
        <v>0</v>
      </c>
      <c r="Q29" s="28">
        <f>PROGRAMADO!Q29/'Anexo '!$D$23</f>
        <v>9219.1274557170909</v>
      </c>
      <c r="R29" s="28">
        <f>PROGRAMADO!R29/'Anexo '!$D$23</f>
        <v>9219.1274557170909</v>
      </c>
      <c r="S29" s="28">
        <f>PROGRAMADO!S29/'Anexo '!$D$23</f>
        <v>178621.78662634199</v>
      </c>
      <c r="T29" s="28">
        <f>PROGRAMADO!T29/'Anexo '!$D$23</f>
        <v>0</v>
      </c>
      <c r="U29" s="28">
        <f>PROGRAMADO!U29/'Anexo '!$D$23</f>
        <v>178621.78662634199</v>
      </c>
      <c r="V29" s="28">
        <f>PROGRAMADO!V29/'Anexo '!$D$23</f>
        <v>187840.91408205905</v>
      </c>
      <c r="W29" s="28">
        <f>PROGRAMADO!W29/'Anexo '!$E$23</f>
        <v>0</v>
      </c>
      <c r="X29" s="28">
        <f>PROGRAMADO!X29/'Anexo '!$E$23</f>
        <v>8780.5752601100794</v>
      </c>
      <c r="Y29" s="28">
        <f>PROGRAMADO!Y29/'Anexo '!$E$23</f>
        <v>8780.5752601100794</v>
      </c>
      <c r="Z29" s="28">
        <f>PROGRAMADO!Z29/'Anexo '!$E$23</f>
        <v>174112.33886920093</v>
      </c>
      <c r="AA29" s="28">
        <f>PROGRAMADO!AA29/'Anexo '!$E$23</f>
        <v>0</v>
      </c>
      <c r="AB29" s="28">
        <f>PROGRAMADO!AB29/'Anexo '!$E$23</f>
        <v>174112.33886920093</v>
      </c>
      <c r="AC29" s="28">
        <f>PROGRAMADO!AC29/'Anexo '!$E$23</f>
        <v>182892.91412931102</v>
      </c>
      <c r="AD29" s="28">
        <f>PROGRAMADO!AD29/'Anexo '!$F$23</f>
        <v>0</v>
      </c>
      <c r="AE29" s="28">
        <f>PROGRAMADO!AE29/'Anexo '!$F$23</f>
        <v>9817.8713716562324</v>
      </c>
      <c r="AF29" s="28">
        <f>PROGRAMADO!AF29/'Anexo '!$F$23</f>
        <v>9817.8713716562324</v>
      </c>
      <c r="AG29" s="28">
        <f>PROGRAMADO!AG29/'Anexo '!$F$23</f>
        <v>333873.59134889016</v>
      </c>
      <c r="AH29" s="28">
        <f>PROGRAMADO!AH29/'Anexo '!$F$23</f>
        <v>0</v>
      </c>
      <c r="AI29" s="28">
        <f>PROGRAMADO!AI29/'Anexo '!$F$23</f>
        <v>333873.59134889016</v>
      </c>
      <c r="AJ29" s="28">
        <f>PROGRAMADO!AJ29/'Anexo '!$F$23</f>
        <v>343691.46272054641</v>
      </c>
      <c r="AK29" s="28">
        <f>PROGRAMADO!AK29/'Anexo '!$G$23</f>
        <v>0</v>
      </c>
      <c r="AL29" s="28">
        <f>PROGRAMADO!AL29/'Anexo '!$G$23</f>
        <v>9350.3536872916502</v>
      </c>
      <c r="AM29" s="28">
        <f>PROGRAMADO!AM29/'Anexo '!$G$23</f>
        <v>9350.3536872916502</v>
      </c>
      <c r="AN29" s="28">
        <f>PROGRAMADO!AN29/'Anexo '!$G$23</f>
        <v>310844.07946445514</v>
      </c>
      <c r="AO29" s="28">
        <f>PROGRAMADO!AO29/'Anexo '!$G$23</f>
        <v>0</v>
      </c>
      <c r="AP29" s="28">
        <f>PROGRAMADO!AP29/'Anexo '!$G$23</f>
        <v>310844.07946445514</v>
      </c>
      <c r="AQ29" s="28">
        <f>PROGRAMADO!AQ29/'Anexo '!$G$23</f>
        <v>320194.43315174675</v>
      </c>
      <c r="AR29" s="28">
        <f>PROGRAMADO!AR29/'Anexo '!$H$23</f>
        <v>0</v>
      </c>
      <c r="AS29" s="28">
        <f>PROGRAMADO!AS29/'Anexo '!$H$23</f>
        <v>0</v>
      </c>
      <c r="AT29" s="28">
        <f>PROGRAMADO!AT29/'Anexo '!$H$23</f>
        <v>0</v>
      </c>
      <c r="AU29" s="28">
        <f>PROGRAMADO!AU29/'Anexo '!$H$23</f>
        <v>0</v>
      </c>
      <c r="AV29" s="28">
        <f>PROGRAMADO!AV29/'Anexo '!$H$23</f>
        <v>0</v>
      </c>
      <c r="AW29" s="28">
        <f>PROGRAMADO!AW29/'Anexo '!$H$23</f>
        <v>0</v>
      </c>
      <c r="AX29" s="28">
        <f>PROGRAMADO!AX29/'Anexo '!$H$23</f>
        <v>0</v>
      </c>
      <c r="AY29" s="28">
        <f>PROGRAMADO!AY29/'Anexo '!$I$23</f>
        <v>0</v>
      </c>
      <c r="AZ29" s="28">
        <f>PROGRAMADO!AZ29/'Anexo '!$I$23</f>
        <v>0</v>
      </c>
      <c r="BA29" s="28">
        <f>PROGRAMADO!BA29/'Anexo '!$I$23</f>
        <v>0</v>
      </c>
      <c r="BB29" s="28">
        <f>PROGRAMADO!BB29/'Anexo '!$I$23</f>
        <v>0</v>
      </c>
      <c r="BC29" s="28">
        <f>PROGRAMADO!BC29/'Anexo '!$I$23</f>
        <v>0</v>
      </c>
      <c r="BD29" s="28">
        <f>PROGRAMADO!BD29/'Anexo '!$I$23</f>
        <v>0</v>
      </c>
      <c r="BE29" s="28">
        <f>PROGRAMADO!BE29/'Anexo '!$I$23</f>
        <v>0</v>
      </c>
      <c r="BF29" s="28">
        <f>PROGRAMADO!BF29/'Anexo '!$J$23</f>
        <v>0</v>
      </c>
      <c r="BG29" s="28">
        <f>PROGRAMADO!BG29/'Anexo '!$J$23</f>
        <v>0</v>
      </c>
      <c r="BH29" s="28">
        <f>PROGRAMADO!BH29/'Anexo '!$J$23</f>
        <v>0</v>
      </c>
      <c r="BI29" s="28">
        <f>PROGRAMADO!BI29/'Anexo '!$J$23</f>
        <v>0</v>
      </c>
      <c r="BJ29" s="28">
        <f>PROGRAMADO!BJ29/'Anexo '!$J$23</f>
        <v>0</v>
      </c>
      <c r="BK29" s="28">
        <f>PROGRAMADO!BK29/'Anexo '!$J$23</f>
        <v>0</v>
      </c>
      <c r="BL29" s="28">
        <f>PROGRAMADO!BL29/'Anexo '!$J$23</f>
        <v>0</v>
      </c>
      <c r="BM29" s="28">
        <f>PROGRAMADO!BM29/'Anexo '!$K$23</f>
        <v>0</v>
      </c>
      <c r="BN29" s="28">
        <f>PROGRAMADO!BN29/'Anexo '!$K$23</f>
        <v>0</v>
      </c>
      <c r="BO29" s="28">
        <f>PROGRAMADO!BO29/'Anexo '!$K$23</f>
        <v>0</v>
      </c>
      <c r="BP29" s="28">
        <f>PROGRAMADO!BP29/'Anexo '!$K$23</f>
        <v>0</v>
      </c>
      <c r="BQ29" s="28">
        <f>PROGRAMADO!BQ29/'Anexo '!$K$23</f>
        <v>0</v>
      </c>
      <c r="BR29" s="28">
        <f>PROGRAMADO!BR29/'Anexo '!$K$23</f>
        <v>0</v>
      </c>
      <c r="BS29" s="28">
        <f>PROGRAMADO!BS29/'Anexo '!$K$23</f>
        <v>0</v>
      </c>
      <c r="BT29" s="28">
        <f>PROGRAMADO!BT29/'Anexo '!$L$23</f>
        <v>0</v>
      </c>
      <c r="BU29" s="28">
        <f>PROGRAMADO!BU29/'Anexo '!$L$23</f>
        <v>0</v>
      </c>
      <c r="BV29" s="28">
        <f>PROGRAMADO!BV29/'Anexo '!$L$23</f>
        <v>0</v>
      </c>
      <c r="BW29" s="28">
        <f>PROGRAMADO!BW29/'Anexo '!$L$23</f>
        <v>0</v>
      </c>
      <c r="BX29" s="28">
        <f>PROGRAMADO!BX29/'Anexo '!$L$23</f>
        <v>0</v>
      </c>
      <c r="BY29" s="28">
        <f>PROGRAMADO!BY29/'Anexo '!$L$23</f>
        <v>0</v>
      </c>
      <c r="BZ29" s="28">
        <f>PROGRAMADO!BZ29/'Anexo '!$L$23</f>
        <v>0</v>
      </c>
      <c r="CA29" s="28">
        <f>PROGRAMADO!CA29/'Anexo '!$L$23</f>
        <v>0</v>
      </c>
      <c r="CB29" s="28">
        <f>PROGRAMADO!CB29/'Anexo '!$M$23</f>
        <v>0</v>
      </c>
      <c r="CC29" s="28">
        <f>PROGRAMADO!CC29/'Anexo '!$M$23</f>
        <v>0</v>
      </c>
      <c r="CD29" s="28">
        <f>PROGRAMADO!CD29/'Anexo '!$M$23</f>
        <v>0</v>
      </c>
      <c r="CE29" s="28">
        <f>PROGRAMADO!CE29/'Anexo '!$M$23</f>
        <v>0</v>
      </c>
      <c r="CF29" s="28">
        <f>PROGRAMADO!CF29/'Anexo '!$M$23</f>
        <v>0</v>
      </c>
      <c r="CG29" s="28">
        <f>PROGRAMADO!CG29/'Anexo '!$M$23</f>
        <v>0</v>
      </c>
      <c r="CH29" s="28">
        <f>PROGRAMADO!CH29/'Anexo '!$M$23</f>
        <v>0</v>
      </c>
      <c r="CI29" s="29">
        <f>PROGRAMADO!CI29/'Anexo '!$M$23</f>
        <v>0</v>
      </c>
    </row>
    <row r="30" spans="1:87" x14ac:dyDescent="0.25">
      <c r="A30" s="15" t="s">
        <v>67</v>
      </c>
      <c r="B30" s="27">
        <f>PROGRAMADO!B30/'Anexo '!$B$23</f>
        <v>0</v>
      </c>
      <c r="C30" s="28">
        <f>PROGRAMADO!C30/'Anexo '!$B$23</f>
        <v>10791.01555647555</v>
      </c>
      <c r="D30" s="28">
        <f>PROGRAMADO!D30/'Anexo '!$B$23</f>
        <v>10791.01555647555</v>
      </c>
      <c r="E30" s="28">
        <f>PROGRAMADO!E30/'Anexo '!$B$23</f>
        <v>107910.15556475549</v>
      </c>
      <c r="F30" s="28">
        <f>PROGRAMADO!F30/'Anexo '!$B$23</f>
        <v>0</v>
      </c>
      <c r="G30" s="28">
        <f>PROGRAMADO!G30/'Anexo '!$B$23</f>
        <v>107910.15556475549</v>
      </c>
      <c r="H30" s="28">
        <f>PROGRAMADO!H30/'Anexo '!$B$23</f>
        <v>118701.17112123105</v>
      </c>
      <c r="I30" s="28">
        <f>PROGRAMADO!I30/'Anexo '!$C$23</f>
        <v>0</v>
      </c>
      <c r="J30" s="28">
        <f>PROGRAMADO!J30/'Anexo '!$C$23</f>
        <v>7040.5920669385159</v>
      </c>
      <c r="K30" s="28">
        <f>PROGRAMADO!K30/'Anexo '!$C$23</f>
        <v>7040.5920669385159</v>
      </c>
      <c r="L30" s="28">
        <f>PROGRAMADO!L30/'Anexo '!$C$23</f>
        <v>70405.920669385159</v>
      </c>
      <c r="M30" s="28">
        <f>PROGRAMADO!M30/'Anexo '!$C$23</f>
        <v>0</v>
      </c>
      <c r="N30" s="28">
        <f>PROGRAMADO!N30/'Anexo '!$C$23</f>
        <v>70405.920669385159</v>
      </c>
      <c r="O30" s="28">
        <f>PROGRAMADO!O30/'Anexo '!$C$23</f>
        <v>77446.512736323668</v>
      </c>
      <c r="P30" s="28">
        <f>PROGRAMADO!P30/'Anexo '!$D$23</f>
        <v>0</v>
      </c>
      <c r="Q30" s="28">
        <f>PROGRAMADO!Q30/'Anexo '!$D$23</f>
        <v>0</v>
      </c>
      <c r="R30" s="28">
        <f>PROGRAMADO!R30/'Anexo '!$D$23</f>
        <v>0</v>
      </c>
      <c r="S30" s="28">
        <f>PROGRAMADO!S30/'Anexo '!$D$23</f>
        <v>0</v>
      </c>
      <c r="T30" s="28">
        <f>PROGRAMADO!T30/'Anexo '!$D$23</f>
        <v>0</v>
      </c>
      <c r="U30" s="28">
        <f>PROGRAMADO!U30/'Anexo '!$D$23</f>
        <v>0</v>
      </c>
      <c r="V30" s="28">
        <f>PROGRAMADO!V30/'Anexo '!$D$23</f>
        <v>0</v>
      </c>
      <c r="W30" s="28">
        <f>PROGRAMADO!W30/'Anexo '!$E$23</f>
        <v>0</v>
      </c>
      <c r="X30" s="28">
        <f>PROGRAMADO!X30/'Anexo '!$E$23</f>
        <v>0</v>
      </c>
      <c r="Y30" s="28">
        <f>PROGRAMADO!Y30/'Anexo '!$E$23</f>
        <v>0</v>
      </c>
      <c r="Z30" s="28">
        <f>PROGRAMADO!Z30/'Anexo '!$E$23</f>
        <v>0</v>
      </c>
      <c r="AA30" s="28">
        <f>PROGRAMADO!AA30/'Anexo '!$E$23</f>
        <v>0</v>
      </c>
      <c r="AB30" s="28">
        <f>PROGRAMADO!AB30/'Anexo '!$E$23</f>
        <v>0</v>
      </c>
      <c r="AC30" s="28">
        <f>PROGRAMADO!AC30/'Anexo '!$E$23</f>
        <v>0</v>
      </c>
      <c r="AD30" s="28">
        <f>PROGRAMADO!AD30/'Anexo '!$F$23</f>
        <v>0</v>
      </c>
      <c r="AE30" s="28">
        <f>PROGRAMADO!AE30/'Anexo '!$F$23</f>
        <v>0</v>
      </c>
      <c r="AF30" s="28">
        <f>PROGRAMADO!AF30/'Anexo '!$F$23</f>
        <v>0</v>
      </c>
      <c r="AG30" s="28">
        <f>PROGRAMADO!AG30/'Anexo '!$F$23</f>
        <v>0</v>
      </c>
      <c r="AH30" s="28">
        <f>PROGRAMADO!AH30/'Anexo '!$F$23</f>
        <v>0</v>
      </c>
      <c r="AI30" s="28">
        <f>PROGRAMADO!AI30/'Anexo '!$F$23</f>
        <v>0</v>
      </c>
      <c r="AJ30" s="28">
        <f>PROGRAMADO!AJ30/'Anexo '!$F$23</f>
        <v>0</v>
      </c>
      <c r="AK30" s="28">
        <f>PROGRAMADO!AK30/'Anexo '!$G$23</f>
        <v>0</v>
      </c>
      <c r="AL30" s="28">
        <f>PROGRAMADO!AL30/'Anexo '!$G$23</f>
        <v>0</v>
      </c>
      <c r="AM30" s="28">
        <f>PROGRAMADO!AM30/'Anexo '!$G$23</f>
        <v>0</v>
      </c>
      <c r="AN30" s="28">
        <f>PROGRAMADO!AN30/'Anexo '!$G$23</f>
        <v>0</v>
      </c>
      <c r="AO30" s="28">
        <f>PROGRAMADO!AO30/'Anexo '!$G$23</f>
        <v>0</v>
      </c>
      <c r="AP30" s="28">
        <f>PROGRAMADO!AP30/'Anexo '!$G$23</f>
        <v>0</v>
      </c>
      <c r="AQ30" s="28">
        <f>PROGRAMADO!AQ30/'Anexo '!$G$23</f>
        <v>0</v>
      </c>
      <c r="AR30" s="28">
        <f>PROGRAMADO!AR30/'Anexo '!$H$23</f>
        <v>0</v>
      </c>
      <c r="AS30" s="28">
        <f>PROGRAMADO!AS30/'Anexo '!$H$23</f>
        <v>0</v>
      </c>
      <c r="AT30" s="28">
        <f>PROGRAMADO!AT30/'Anexo '!$H$23</f>
        <v>0</v>
      </c>
      <c r="AU30" s="28">
        <f>PROGRAMADO!AU30/'Anexo '!$H$23</f>
        <v>0</v>
      </c>
      <c r="AV30" s="28">
        <f>PROGRAMADO!AV30/'Anexo '!$H$23</f>
        <v>0</v>
      </c>
      <c r="AW30" s="28">
        <f>PROGRAMADO!AW30/'Anexo '!$H$23</f>
        <v>0</v>
      </c>
      <c r="AX30" s="28">
        <f>PROGRAMADO!AX30/'Anexo '!$H$23</f>
        <v>0</v>
      </c>
      <c r="AY30" s="28">
        <f>PROGRAMADO!AY30/'Anexo '!$I$23</f>
        <v>0</v>
      </c>
      <c r="AZ30" s="28">
        <f>PROGRAMADO!AZ30/'Anexo '!$I$23</f>
        <v>0</v>
      </c>
      <c r="BA30" s="28">
        <f>PROGRAMADO!BA30/'Anexo '!$I$23</f>
        <v>0</v>
      </c>
      <c r="BB30" s="28">
        <f>PROGRAMADO!BB30/'Anexo '!$I$23</f>
        <v>0</v>
      </c>
      <c r="BC30" s="28">
        <f>PROGRAMADO!BC30/'Anexo '!$I$23</f>
        <v>0</v>
      </c>
      <c r="BD30" s="28">
        <f>PROGRAMADO!BD30/'Anexo '!$I$23</f>
        <v>0</v>
      </c>
      <c r="BE30" s="28">
        <f>PROGRAMADO!BE30/'Anexo '!$I$23</f>
        <v>0</v>
      </c>
      <c r="BF30" s="28">
        <f>PROGRAMADO!BF30/'Anexo '!$J$23</f>
        <v>0</v>
      </c>
      <c r="BG30" s="28">
        <f>PROGRAMADO!BG30/'Anexo '!$J$23</f>
        <v>0</v>
      </c>
      <c r="BH30" s="28">
        <f>PROGRAMADO!BH30/'Anexo '!$J$23</f>
        <v>0</v>
      </c>
      <c r="BI30" s="28">
        <f>PROGRAMADO!BI30/'Anexo '!$J$23</f>
        <v>0</v>
      </c>
      <c r="BJ30" s="28">
        <f>PROGRAMADO!BJ30/'Anexo '!$J$23</f>
        <v>0</v>
      </c>
      <c r="BK30" s="28">
        <f>PROGRAMADO!BK30/'Anexo '!$J$23</f>
        <v>0</v>
      </c>
      <c r="BL30" s="28">
        <f>PROGRAMADO!BL30/'Anexo '!$J$23</f>
        <v>0</v>
      </c>
      <c r="BM30" s="28">
        <f>PROGRAMADO!BM30/'Anexo '!$K$23</f>
        <v>0</v>
      </c>
      <c r="BN30" s="28">
        <f>PROGRAMADO!BN30/'Anexo '!$K$23</f>
        <v>0</v>
      </c>
      <c r="BO30" s="28">
        <f>PROGRAMADO!BO30/'Anexo '!$K$23</f>
        <v>0</v>
      </c>
      <c r="BP30" s="28">
        <f>PROGRAMADO!BP30/'Anexo '!$K$23</f>
        <v>0</v>
      </c>
      <c r="BQ30" s="28">
        <f>PROGRAMADO!BQ30/'Anexo '!$K$23</f>
        <v>0</v>
      </c>
      <c r="BR30" s="28">
        <f>PROGRAMADO!BR30/'Anexo '!$K$23</f>
        <v>0</v>
      </c>
      <c r="BS30" s="28">
        <f>PROGRAMADO!BS30/'Anexo '!$K$23</f>
        <v>0</v>
      </c>
      <c r="BT30" s="28">
        <f>PROGRAMADO!BT30/'Anexo '!$L$23</f>
        <v>0</v>
      </c>
      <c r="BU30" s="28">
        <f>PROGRAMADO!BU30/'Anexo '!$L$23</f>
        <v>0</v>
      </c>
      <c r="BV30" s="28">
        <f>PROGRAMADO!BV30/'Anexo '!$L$23</f>
        <v>0</v>
      </c>
      <c r="BW30" s="28">
        <f>PROGRAMADO!BW30/'Anexo '!$L$23</f>
        <v>0</v>
      </c>
      <c r="BX30" s="28">
        <f>PROGRAMADO!BX30/'Anexo '!$L$23</f>
        <v>0</v>
      </c>
      <c r="BY30" s="28">
        <f>PROGRAMADO!BY30/'Anexo '!$L$23</f>
        <v>0</v>
      </c>
      <c r="BZ30" s="28">
        <f>PROGRAMADO!BZ30/'Anexo '!$L$23</f>
        <v>0</v>
      </c>
      <c r="CA30" s="28">
        <f>PROGRAMADO!CA30/'Anexo '!$L$23</f>
        <v>0</v>
      </c>
      <c r="CB30" s="28">
        <f>PROGRAMADO!CB30/'Anexo '!$M$23</f>
        <v>0</v>
      </c>
      <c r="CC30" s="28">
        <f>PROGRAMADO!CC30/'Anexo '!$M$23</f>
        <v>0</v>
      </c>
      <c r="CD30" s="28">
        <f>PROGRAMADO!CD30/'Anexo '!$M$23</f>
        <v>0</v>
      </c>
      <c r="CE30" s="28">
        <f>PROGRAMADO!CE30/'Anexo '!$M$23</f>
        <v>0</v>
      </c>
      <c r="CF30" s="28">
        <f>PROGRAMADO!CF30/'Anexo '!$M$23</f>
        <v>0</v>
      </c>
      <c r="CG30" s="28">
        <f>PROGRAMADO!CG30/'Anexo '!$M$23</f>
        <v>0</v>
      </c>
      <c r="CH30" s="28">
        <f>PROGRAMADO!CH30/'Anexo '!$M$23</f>
        <v>0</v>
      </c>
      <c r="CI30" s="29">
        <f>PROGRAMADO!CI30/'Anexo '!$M$23</f>
        <v>0</v>
      </c>
    </row>
    <row r="31" spans="1:87" x14ac:dyDescent="0.25">
      <c r="A31" s="15" t="s">
        <v>21</v>
      </c>
      <c r="B31" s="27">
        <f>PROGRAMADO!B31/'Anexo '!$B$23</f>
        <v>0</v>
      </c>
      <c r="C31" s="28">
        <f>PROGRAMADO!C31/'Anexo '!$B$23</f>
        <v>298670.0525566088</v>
      </c>
      <c r="D31" s="28">
        <f>PROGRAMADO!D31/'Anexo '!$B$23</f>
        <v>298670.0525566088</v>
      </c>
      <c r="E31" s="28">
        <f>PROGRAMADO!E31/'Anexo '!$B$23</f>
        <v>878441.35692884156</v>
      </c>
      <c r="F31" s="28">
        <f>PROGRAMADO!F31/'Anexo '!$B$23</f>
        <v>0</v>
      </c>
      <c r="G31" s="28">
        <f>PROGRAMADO!G31/'Anexo '!$B$23</f>
        <v>878441.35692884156</v>
      </c>
      <c r="H31" s="28">
        <f>PROGRAMADO!H31/'Anexo '!$B$23</f>
        <v>1177111.4094854505</v>
      </c>
      <c r="I31" s="28">
        <f>PROGRAMADO!I31/'Anexo '!$C$23</f>
        <v>0</v>
      </c>
      <c r="J31" s="28">
        <f>PROGRAMADO!J31/'Anexo '!$C$23</f>
        <v>165391.85709368213</v>
      </c>
      <c r="K31" s="28">
        <f>PROGRAMADO!K31/'Anexo '!$C$23</f>
        <v>165391.85709368213</v>
      </c>
      <c r="L31" s="28">
        <f>PROGRAMADO!L31/'Anexo '!$C$23</f>
        <v>1118844.4606259598</v>
      </c>
      <c r="M31" s="28">
        <f>PROGRAMADO!M31/'Anexo '!$C$23</f>
        <v>0</v>
      </c>
      <c r="N31" s="28">
        <f>PROGRAMADO!N31/'Anexo '!$C$23</f>
        <v>1118844.4606259598</v>
      </c>
      <c r="O31" s="28">
        <f>PROGRAMADO!O31/'Anexo '!$C$23</f>
        <v>1284236.3177196421</v>
      </c>
      <c r="P31" s="28">
        <f>PROGRAMADO!P31/'Anexo '!$D$23</f>
        <v>0</v>
      </c>
      <c r="Q31" s="28">
        <f>PROGRAMADO!Q31/'Anexo '!$D$23</f>
        <v>129345.99963607386</v>
      </c>
      <c r="R31" s="28">
        <f>PROGRAMADO!R31/'Anexo '!$D$23</f>
        <v>129345.99963607386</v>
      </c>
      <c r="S31" s="28">
        <f>PROGRAMADO!S31/'Anexo '!$D$23</f>
        <v>853509.44011846418</v>
      </c>
      <c r="T31" s="28">
        <f>PROGRAMADO!T31/'Anexo '!$D$23</f>
        <v>0</v>
      </c>
      <c r="U31" s="28">
        <f>PROGRAMADO!U31/'Anexo '!$D$23</f>
        <v>853509.44011846418</v>
      </c>
      <c r="V31" s="28">
        <f>PROGRAMADO!V31/'Anexo '!$D$23</f>
        <v>982855.43975453812</v>
      </c>
      <c r="W31" s="28">
        <f>PROGRAMADO!W31/'Anexo '!$E$23</f>
        <v>0</v>
      </c>
      <c r="X31" s="28">
        <f>PROGRAMADO!X31/'Anexo '!$E$23</f>
        <v>123191.48046111646</v>
      </c>
      <c r="Y31" s="28">
        <f>PROGRAMADO!Y31/'Anexo '!$E$23</f>
        <v>123191.48046111646</v>
      </c>
      <c r="Z31" s="28">
        <f>PROGRAMADO!Z31/'Anexo '!$E$23</f>
        <v>665419.73191181652</v>
      </c>
      <c r="AA31" s="28">
        <f>PROGRAMADO!AA31/'Anexo '!$E$23</f>
        <v>0</v>
      </c>
      <c r="AB31" s="28">
        <f>PROGRAMADO!AB31/'Anexo '!$E$23</f>
        <v>665419.73191181652</v>
      </c>
      <c r="AC31" s="28">
        <f>PROGRAMADO!AC31/'Anexo '!$E$23</f>
        <v>788611.21237293305</v>
      </c>
      <c r="AD31" s="28">
        <f>PROGRAMADO!AD31/'Anexo '!$F$23</f>
        <v>0</v>
      </c>
      <c r="AE31" s="28">
        <f>PROGRAMADO!AE31/'Anexo '!$F$23</f>
        <v>83302.788844621507</v>
      </c>
      <c r="AF31" s="28">
        <f>PROGRAMADO!AF31/'Anexo '!$F$23</f>
        <v>83302.788844621507</v>
      </c>
      <c r="AG31" s="28">
        <f>PROGRAMADO!AG31/'Anexo '!$F$23</f>
        <v>416514.17188389297</v>
      </c>
      <c r="AH31" s="28">
        <f>PROGRAMADO!AH31/'Anexo '!$F$23</f>
        <v>0</v>
      </c>
      <c r="AI31" s="28">
        <f>PROGRAMADO!AI31/'Anexo '!$F$23</f>
        <v>416514.17188389297</v>
      </c>
      <c r="AJ31" s="28">
        <f>PROGRAMADO!AJ31/'Anexo '!$F$23</f>
        <v>499816.96072851453</v>
      </c>
      <c r="AK31" s="28">
        <f>PROGRAMADO!AK31/'Anexo '!$G$23</f>
        <v>0</v>
      </c>
      <c r="AL31" s="28">
        <f>PROGRAMADO!AL31/'Anexo '!$G$23</f>
        <v>103620.2943328726</v>
      </c>
      <c r="AM31" s="28">
        <f>PROGRAMADO!AM31/'Anexo '!$G$23</f>
        <v>103620.2943328726</v>
      </c>
      <c r="AN31" s="28">
        <f>PROGRAMADO!AN31/'Anexo '!$G$23</f>
        <v>563575.84627476486</v>
      </c>
      <c r="AO31" s="28">
        <f>PROGRAMADO!AO31/'Anexo '!$G$23</f>
        <v>0</v>
      </c>
      <c r="AP31" s="28">
        <f>PROGRAMADO!AP31/'Anexo '!$G$23</f>
        <v>563575.84627476486</v>
      </c>
      <c r="AQ31" s="28">
        <f>PROGRAMADO!AQ31/'Anexo '!$G$23</f>
        <v>667196.14060763747</v>
      </c>
      <c r="AR31" s="28">
        <f>PROGRAMADO!AR31/'Anexo '!$H$23</f>
        <v>0</v>
      </c>
      <c r="AS31" s="28">
        <f>PROGRAMADO!AS31/'Anexo '!$H$23</f>
        <v>0</v>
      </c>
      <c r="AT31" s="28">
        <f>PROGRAMADO!AT31/'Anexo '!$H$23</f>
        <v>0</v>
      </c>
      <c r="AU31" s="28">
        <f>PROGRAMADO!AU31/'Anexo '!$H$23</f>
        <v>0</v>
      </c>
      <c r="AV31" s="28">
        <f>PROGRAMADO!AV31/'Anexo '!$H$23</f>
        <v>0</v>
      </c>
      <c r="AW31" s="28">
        <f>PROGRAMADO!AW31/'Anexo '!$H$23</f>
        <v>0</v>
      </c>
      <c r="AX31" s="28">
        <f>PROGRAMADO!AX31/'Anexo '!$H$23</f>
        <v>0</v>
      </c>
      <c r="AY31" s="28">
        <f>PROGRAMADO!AY31/'Anexo '!$I$23</f>
        <v>0</v>
      </c>
      <c r="AZ31" s="28">
        <f>PROGRAMADO!AZ31/'Anexo '!$I$23</f>
        <v>0</v>
      </c>
      <c r="BA31" s="28">
        <f>PROGRAMADO!BA31/'Anexo '!$I$23</f>
        <v>0</v>
      </c>
      <c r="BB31" s="28">
        <f>PROGRAMADO!BB31/'Anexo '!$I$23</f>
        <v>0</v>
      </c>
      <c r="BC31" s="28">
        <f>PROGRAMADO!BC31/'Anexo '!$I$23</f>
        <v>0</v>
      </c>
      <c r="BD31" s="28">
        <f>PROGRAMADO!BD31/'Anexo '!$I$23</f>
        <v>0</v>
      </c>
      <c r="BE31" s="28">
        <f>PROGRAMADO!BE31/'Anexo '!$I$23</f>
        <v>0</v>
      </c>
      <c r="BF31" s="28">
        <f>PROGRAMADO!BF31/'Anexo '!$J$23</f>
        <v>0</v>
      </c>
      <c r="BG31" s="28">
        <f>PROGRAMADO!BG31/'Anexo '!$J$23</f>
        <v>0</v>
      </c>
      <c r="BH31" s="28">
        <f>PROGRAMADO!BH31/'Anexo '!$J$23</f>
        <v>0</v>
      </c>
      <c r="BI31" s="28">
        <f>PROGRAMADO!BI31/'Anexo '!$J$23</f>
        <v>0</v>
      </c>
      <c r="BJ31" s="28">
        <f>PROGRAMADO!BJ31/'Anexo '!$J$23</f>
        <v>0</v>
      </c>
      <c r="BK31" s="28">
        <f>PROGRAMADO!BK31/'Anexo '!$J$23</f>
        <v>0</v>
      </c>
      <c r="BL31" s="28">
        <f>PROGRAMADO!BL31/'Anexo '!$J$23</f>
        <v>0</v>
      </c>
      <c r="BM31" s="28">
        <f>PROGRAMADO!BM31/'Anexo '!$K$23</f>
        <v>0</v>
      </c>
      <c r="BN31" s="28">
        <f>PROGRAMADO!BN31/'Anexo '!$K$23</f>
        <v>0</v>
      </c>
      <c r="BO31" s="28">
        <f>PROGRAMADO!BO31/'Anexo '!$K$23</f>
        <v>0</v>
      </c>
      <c r="BP31" s="28">
        <f>PROGRAMADO!BP31/'Anexo '!$K$23</f>
        <v>0</v>
      </c>
      <c r="BQ31" s="28">
        <f>PROGRAMADO!BQ31/'Anexo '!$K$23</f>
        <v>7135116.8152406095</v>
      </c>
      <c r="BR31" s="28">
        <f>PROGRAMADO!BR31/'Anexo '!$K$23</f>
        <v>7135116.8152406095</v>
      </c>
      <c r="BS31" s="28">
        <f>PROGRAMADO!BS31/'Anexo '!$K$23</f>
        <v>7135116.8152406095</v>
      </c>
      <c r="BT31" s="28">
        <f>PROGRAMADO!BT31/'Anexo '!$L$23</f>
        <v>0</v>
      </c>
      <c r="BU31" s="28">
        <f>PROGRAMADO!BU31/'Anexo '!$L$23</f>
        <v>0</v>
      </c>
      <c r="BV31" s="28">
        <f>PROGRAMADO!BV31/'Anexo '!$L$23</f>
        <v>0</v>
      </c>
      <c r="BW31" s="28">
        <f>PROGRAMADO!BW31/'Anexo '!$L$23</f>
        <v>0</v>
      </c>
      <c r="BX31" s="28">
        <f>PROGRAMADO!BX31/'Anexo '!$L$23</f>
        <v>1351711.6538623245</v>
      </c>
      <c r="BY31" s="28">
        <f>PROGRAMADO!BY31/'Anexo '!$L$23</f>
        <v>15633146.045942742</v>
      </c>
      <c r="BZ31" s="28">
        <f>PROGRAMADO!BZ31/'Anexo '!$L$23</f>
        <v>16984857.699805066</v>
      </c>
      <c r="CA31" s="28">
        <f>PROGRAMADO!CA31/'Anexo '!$L$23</f>
        <v>16984857.699805066</v>
      </c>
      <c r="CB31" s="28">
        <f>PROGRAMADO!CB31/'Anexo '!$M$23</f>
        <v>0</v>
      </c>
      <c r="CC31" s="28">
        <f>PROGRAMADO!CC31/'Anexo '!$M$23</f>
        <v>5994473.9202999407</v>
      </c>
      <c r="CD31" s="28">
        <f>PROGRAMADO!CD31/'Anexo '!$M$23</f>
        <v>0</v>
      </c>
      <c r="CE31" s="28">
        <f>PROGRAMADO!CE31/'Anexo '!$M$23</f>
        <v>5994473.9202999407</v>
      </c>
      <c r="CF31" s="28">
        <f>PROGRAMADO!CF31/'Anexo '!$M$23</f>
        <v>1053978.7815221567</v>
      </c>
      <c r="CG31" s="28">
        <f>PROGRAMADO!CG31/'Anexo '!$M$23</f>
        <v>11528671.221103052</v>
      </c>
      <c r="CH31" s="28">
        <f>PROGRAMADO!CH31/'Anexo '!$M$23</f>
        <v>12582650.002625208</v>
      </c>
      <c r="CI31" s="29">
        <f>PROGRAMADO!CI31/'Anexo '!$M$23</f>
        <v>18577123.922925148</v>
      </c>
    </row>
    <row r="32" spans="1:87" x14ac:dyDescent="0.25">
      <c r="A32" s="15" t="s">
        <v>22</v>
      </c>
      <c r="B32" s="27">
        <f>PROGRAMADO!B32/'Anexo '!$B$23</f>
        <v>0</v>
      </c>
      <c r="C32" s="28">
        <f>PROGRAMADO!C32/'Anexo '!$B$23</f>
        <v>2455917.0040627872</v>
      </c>
      <c r="D32" s="28">
        <f>PROGRAMADO!D32/'Anexo '!$B$23</f>
        <v>2455917.0040627872</v>
      </c>
      <c r="E32" s="28">
        <f>PROGRAMADO!E32/'Anexo '!$B$23</f>
        <v>0</v>
      </c>
      <c r="F32" s="28">
        <f>PROGRAMADO!F32/'Anexo '!$B$23</f>
        <v>8866445.8680962436</v>
      </c>
      <c r="G32" s="28">
        <f>PROGRAMADO!G32/'Anexo '!$B$23</f>
        <v>8866445.8680962436</v>
      </c>
      <c r="H32" s="28">
        <f>PROGRAMADO!H32/'Anexo '!$B$23</f>
        <v>11322362.87215903</v>
      </c>
      <c r="I32" s="28">
        <f>PROGRAMADO!I32/'Anexo '!$C$23</f>
        <v>0</v>
      </c>
      <c r="J32" s="28">
        <f>PROGRAMADO!J32/'Anexo '!$C$23</f>
        <v>2416194.4606259596</v>
      </c>
      <c r="K32" s="28">
        <f>PROGRAMADO!K32/'Anexo '!$C$23</f>
        <v>2416194.4606259596</v>
      </c>
      <c r="L32" s="28">
        <f>PROGRAMADO!L32/'Anexo '!$C$23</f>
        <v>0</v>
      </c>
      <c r="M32" s="28">
        <f>PROGRAMADO!M32/'Anexo '!$C$23</f>
        <v>8340972.7426785994</v>
      </c>
      <c r="N32" s="28">
        <f>PROGRAMADO!N32/'Anexo '!$C$23</f>
        <v>8340972.7426785994</v>
      </c>
      <c r="O32" s="28">
        <f>PROGRAMADO!O32/'Anexo '!$C$23</f>
        <v>10757167.203304559</v>
      </c>
      <c r="P32" s="28">
        <f>PROGRAMADO!P32/'Anexo '!$D$23</f>
        <v>0</v>
      </c>
      <c r="Q32" s="28">
        <f>PROGRAMADO!Q32/'Anexo '!$D$23</f>
        <v>1694960.8779404289</v>
      </c>
      <c r="R32" s="28">
        <f>PROGRAMADO!R32/'Anexo '!$D$23</f>
        <v>1694960.8779404289</v>
      </c>
      <c r="S32" s="28">
        <f>PROGRAMADO!S32/'Anexo '!$D$23</f>
        <v>0</v>
      </c>
      <c r="T32" s="28">
        <f>PROGRAMADO!T32/'Anexo '!$D$23</f>
        <v>15823514.083313987</v>
      </c>
      <c r="U32" s="28">
        <f>PROGRAMADO!U32/'Anexo '!$D$23</f>
        <v>15823514.083313987</v>
      </c>
      <c r="V32" s="28">
        <f>PROGRAMADO!V32/'Anexo '!$D$23</f>
        <v>17518474.961254414</v>
      </c>
      <c r="W32" s="28">
        <f>PROGRAMADO!W32/'Anexo '!$E$23</f>
        <v>2149307.0703328094</v>
      </c>
      <c r="X32" s="28">
        <f>PROGRAMADO!X32/'Anexo '!$E$23</f>
        <v>1979885.497779876</v>
      </c>
      <c r="Y32" s="28">
        <f>PROGRAMADO!Y32/'Anexo '!$E$23</f>
        <v>4129192.5681126853</v>
      </c>
      <c r="Z32" s="28">
        <f>PROGRAMADO!Z32/'Anexo '!$E$23</f>
        <v>0</v>
      </c>
      <c r="AA32" s="28">
        <f>PROGRAMADO!AA32/'Anexo '!$E$23</f>
        <v>11182719.905816546</v>
      </c>
      <c r="AB32" s="28">
        <f>PROGRAMADO!AB32/'Anexo '!$E$23</f>
        <v>11182719.905816546</v>
      </c>
      <c r="AC32" s="28">
        <f>PROGRAMADO!AC32/'Anexo '!$E$23</f>
        <v>15311912.473929232</v>
      </c>
      <c r="AD32" s="28">
        <f>PROGRAMADO!AD32/'Anexo '!$F$23</f>
        <v>0</v>
      </c>
      <c r="AE32" s="28">
        <f>PROGRAMADO!AE32/'Anexo '!$F$23</f>
        <v>2215650.5976095619</v>
      </c>
      <c r="AF32" s="28">
        <f>PROGRAMADO!AF32/'Anexo '!$F$23</f>
        <v>2215650.5976095619</v>
      </c>
      <c r="AG32" s="28">
        <f>PROGRAMADO!AG32/'Anexo '!$F$23</f>
        <v>125213.43198634035</v>
      </c>
      <c r="AH32" s="28">
        <f>PROGRAMADO!AH32/'Anexo '!$F$23</f>
        <v>10560057.313602732</v>
      </c>
      <c r="AI32" s="28">
        <f>PROGRAMADO!AI32/'Anexo '!$F$23</f>
        <v>10685270.745589072</v>
      </c>
      <c r="AJ32" s="28">
        <f>PROGRAMADO!AJ32/'Anexo '!$F$23</f>
        <v>12900921.343198635</v>
      </c>
      <c r="AK32" s="28">
        <f>PROGRAMADO!AK32/'Anexo '!$G$23</f>
        <v>2.7102474455917826E-2</v>
      </c>
      <c r="AL32" s="28">
        <f>PROGRAMADO!AL32/'Anexo '!$G$23</f>
        <v>2189879.9360381602</v>
      </c>
      <c r="AM32" s="28">
        <f>PROGRAMADO!AM32/'Anexo '!$G$23</f>
        <v>2216982.4104940784</v>
      </c>
      <c r="AN32" s="28">
        <f>PROGRAMADO!AN32/'Anexo '!$G$23</f>
        <v>498685.52998888801</v>
      </c>
      <c r="AO32" s="28">
        <f>PROGRAMADO!AO32/'Anexo '!$G$23</f>
        <v>3498344.0930156927</v>
      </c>
      <c r="AP32" s="28">
        <f>PROGRAMADO!AP32/'Anexo '!$G$23</f>
        <v>3997029.6230045804</v>
      </c>
      <c r="AQ32" s="28">
        <f>PROGRAMADO!AQ32/'Anexo '!$G$23</f>
        <v>6214012.0334986588</v>
      </c>
      <c r="AR32" s="28">
        <f>PROGRAMADO!AR32/'Anexo '!$H$23</f>
        <v>2425690.923450978</v>
      </c>
      <c r="AS32" s="28">
        <f>PROGRAMADO!AS32/'Anexo '!$H$23</f>
        <v>2105059.390147585</v>
      </c>
      <c r="AT32" s="28">
        <f>PROGRAMADO!AT32/'Anexo '!$H$23</f>
        <v>4530750.313598563</v>
      </c>
      <c r="AU32" s="28">
        <f>PROGRAMADO!AU32/'Anexo '!$H$23</f>
        <v>761206.69629721402</v>
      </c>
      <c r="AV32" s="28">
        <f>PROGRAMADO!AV32/'Anexo '!$H$23</f>
        <v>5427200.1713822596</v>
      </c>
      <c r="AW32" s="28">
        <f>PROGRAMADO!AW32/'Anexo '!$H$23</f>
        <v>6188406.8676794739</v>
      </c>
      <c r="AX32" s="28">
        <f>PROGRAMADO!AX32/'Anexo '!$H$23</f>
        <v>10719157.181278037</v>
      </c>
      <c r="AY32" s="28">
        <f>PROGRAMADO!AY32/'Anexo '!$I$23</f>
        <v>3064617.2866208847</v>
      </c>
      <c r="AZ32" s="28">
        <f>PROGRAMADO!AZ32/'Anexo '!$I$23</f>
        <v>2560045.0771522252</v>
      </c>
      <c r="BA32" s="28">
        <f>PROGRAMADO!BA32/'Anexo '!$I$23</f>
        <v>5624662.3637731103</v>
      </c>
      <c r="BB32" s="28">
        <f>PROGRAMADO!BB32/'Anexo '!$I$23</f>
        <v>1517040.3433138835</v>
      </c>
      <c r="BC32" s="28">
        <f>PROGRAMADO!BC32/'Anexo '!$I$23</f>
        <v>9228588.1069070771</v>
      </c>
      <c r="BD32" s="28">
        <f>PROGRAMADO!BD32/'Anexo '!$I$23</f>
        <v>10745628.450220961</v>
      </c>
      <c r="BE32" s="28">
        <f>PROGRAMADO!BE32/'Anexo '!$I$23</f>
        <v>16370290.813994072</v>
      </c>
      <c r="BF32" s="28">
        <f>PROGRAMADO!BF32/'Anexo '!$J$23</f>
        <v>1189652.9377610458</v>
      </c>
      <c r="BG32" s="28">
        <f>PROGRAMADO!BG32/'Anexo '!$J$23</f>
        <v>2501638.8529902045</v>
      </c>
      <c r="BH32" s="28">
        <f>PROGRAMADO!BH32/'Anexo '!$J$23</f>
        <v>3691291.79075125</v>
      </c>
      <c r="BI32" s="28">
        <f>PROGRAMADO!BI32/'Anexo '!$J$23</f>
        <v>0</v>
      </c>
      <c r="BJ32" s="28">
        <f>PROGRAMADO!BJ32/'Anexo '!$J$23</f>
        <v>16994590.661347419</v>
      </c>
      <c r="BK32" s="28">
        <f>PROGRAMADO!BK32/'Anexo '!$J$23</f>
        <v>16994590.661347419</v>
      </c>
      <c r="BL32" s="28">
        <f>PROGRAMADO!BL32/'Anexo '!$J$23</f>
        <v>20685882.452098668</v>
      </c>
      <c r="BM32" s="28">
        <f>PROGRAMADO!BM32/'Anexo '!$K$23</f>
        <v>3415677.0110995662</v>
      </c>
      <c r="BN32" s="28">
        <f>PROGRAMADO!BN32/'Anexo '!$K$23</f>
        <v>2939712.722359227</v>
      </c>
      <c r="BO32" s="28">
        <f>PROGRAMADO!BO32/'Anexo '!$K$23</f>
        <v>6355389.7334587928</v>
      </c>
      <c r="BP32" s="28">
        <f>PROGRAMADO!BP32/'Anexo '!$K$23</f>
        <v>6365293.7215431482</v>
      </c>
      <c r="BQ32" s="28">
        <f>PROGRAMADO!BQ32/'Anexo '!$K$23</f>
        <v>19069524.756625626</v>
      </c>
      <c r="BR32" s="28">
        <f>PROGRAMADO!BR32/'Anexo '!$K$23</f>
        <v>25434818.478168774</v>
      </c>
      <c r="BS32" s="28">
        <f>PROGRAMADO!BS32/'Anexo '!$K$23</f>
        <v>31790208.211627565</v>
      </c>
      <c r="BT32" s="28">
        <f>PROGRAMADO!BT32/'Anexo '!$L$23</f>
        <v>1870661.5364361035</v>
      </c>
      <c r="BU32" s="28">
        <f>PROGRAMADO!BU32/'Anexo '!$L$23</f>
        <v>3501764.5784759647</v>
      </c>
      <c r="BV32" s="28">
        <f>PROGRAMADO!BV32/'Anexo '!$L$23</f>
        <v>0</v>
      </c>
      <c r="BW32" s="28">
        <f>PROGRAMADO!BW32/'Anexo '!$L$23</f>
        <v>5372426.1149120685</v>
      </c>
      <c r="BX32" s="28">
        <f>PROGRAMADO!BX32/'Anexo '!$L$23</f>
        <v>1450854.5503191527</v>
      </c>
      <c r="BY32" s="28">
        <f>PROGRAMADO!BY32/'Anexo '!$L$23</f>
        <v>25238656.405780856</v>
      </c>
      <c r="BZ32" s="28">
        <f>PROGRAMADO!BZ32/'Anexo '!$L$23</f>
        <v>26689510.956100006</v>
      </c>
      <c r="CA32" s="28">
        <f>PROGRAMADO!CA32/'Anexo '!$L$23</f>
        <v>32061937.071012072</v>
      </c>
      <c r="CB32" s="28">
        <f>PROGRAMADO!CB32/'Anexo '!$M$23</f>
        <v>2151862.4329281836</v>
      </c>
      <c r="CC32" s="28">
        <f>PROGRAMADO!CC32/'Anexo '!$M$23</f>
        <v>4056523.3993497365</v>
      </c>
      <c r="CD32" s="28">
        <f>PROGRAMADO!CD32/'Anexo '!$M$23</f>
        <v>0</v>
      </c>
      <c r="CE32" s="28">
        <f>PROGRAMADO!CE32/'Anexo '!$M$23</f>
        <v>6208385.8322779201</v>
      </c>
      <c r="CF32" s="28">
        <f>PROGRAMADO!CF32/'Anexo '!$M$23</f>
        <v>1367160.7186648988</v>
      </c>
      <c r="CG32" s="28">
        <f>PROGRAMADO!CG32/'Anexo '!$M$23</f>
        <v>62737570.588851362</v>
      </c>
      <c r="CH32" s="28">
        <f>PROGRAMADO!CH32/'Anexo '!$M$23</f>
        <v>64104731.307516254</v>
      </c>
      <c r="CI32" s="29">
        <f>PROGRAMADO!CI32/'Anexo '!$M$23</f>
        <v>70313117.139794186</v>
      </c>
    </row>
    <row r="33" spans="1:101" x14ac:dyDescent="0.25">
      <c r="A33" s="15" t="s">
        <v>23</v>
      </c>
      <c r="B33" s="27">
        <f>PROGRAMADO!B33/'Anexo '!$B$23</f>
        <v>0</v>
      </c>
      <c r="C33" s="28">
        <f>PROGRAMADO!C33/'Anexo '!$B$23</f>
        <v>0</v>
      </c>
      <c r="D33" s="28">
        <f>PROGRAMADO!D33/'Anexo '!$B$23</f>
        <v>0</v>
      </c>
      <c r="E33" s="28">
        <f>PROGRAMADO!E33/'Anexo '!$B$23</f>
        <v>0</v>
      </c>
      <c r="F33" s="28">
        <f>PROGRAMADO!F33/'Anexo '!$B$23</f>
        <v>0</v>
      </c>
      <c r="G33" s="28">
        <f>PROGRAMADO!G33/'Anexo '!$B$23</f>
        <v>0</v>
      </c>
      <c r="H33" s="28">
        <f>PROGRAMADO!H33/'Anexo '!$B$23</f>
        <v>0</v>
      </c>
      <c r="I33" s="28">
        <f>PROGRAMADO!I33/'Anexo '!$C$23</f>
        <v>0</v>
      </c>
      <c r="J33" s="28">
        <f>PROGRAMADO!J33/'Anexo '!$C$23</f>
        <v>66197.10851030027</v>
      </c>
      <c r="K33" s="28">
        <f>PROGRAMADO!K33/'Anexo '!$C$23</f>
        <v>66197.10851030027</v>
      </c>
      <c r="L33" s="28">
        <f>PROGRAMADO!L33/'Anexo '!$C$23</f>
        <v>532835.61934014724</v>
      </c>
      <c r="M33" s="28">
        <f>PROGRAMADO!M33/'Anexo '!$C$23</f>
        <v>1102637.2928030503</v>
      </c>
      <c r="N33" s="28">
        <f>PROGRAMADO!N33/'Anexo '!$C$23</f>
        <v>1635472.9121431976</v>
      </c>
      <c r="O33" s="28">
        <f>PROGRAMADO!O33/'Anexo '!$C$23</f>
        <v>1701670.0206534977</v>
      </c>
      <c r="P33" s="28">
        <f>PROGRAMADO!P33/'Anexo '!$D$23</f>
        <v>0</v>
      </c>
      <c r="Q33" s="28">
        <f>PROGRAMADO!Q33/'Anexo '!$D$23</f>
        <v>62745.885438562364</v>
      </c>
      <c r="R33" s="28">
        <f>PROGRAMADO!R33/'Anexo '!$D$23</f>
        <v>62745.885438562364</v>
      </c>
      <c r="S33" s="28">
        <f>PROGRAMADO!S33/'Anexo '!$D$23</f>
        <v>1360446.4369748954</v>
      </c>
      <c r="T33" s="28">
        <f>PROGRAMADO!T33/'Anexo '!$D$23</f>
        <v>1003934.1670169978</v>
      </c>
      <c r="U33" s="28">
        <f>PROGRAMADO!U33/'Anexo '!$D$23</f>
        <v>2364380.6039918931</v>
      </c>
      <c r="V33" s="28">
        <f>PROGRAMADO!V33/'Anexo '!$D$23</f>
        <v>2427126.4894304555</v>
      </c>
      <c r="W33" s="28">
        <f>PROGRAMADO!W33/'Anexo '!$E$23</f>
        <v>0</v>
      </c>
      <c r="X33" s="28">
        <f>PROGRAMADO!X33/'Anexo '!$E$23</f>
        <v>0</v>
      </c>
      <c r="Y33" s="28">
        <f>PROGRAMADO!Y33/'Anexo '!$E$23</f>
        <v>0</v>
      </c>
      <c r="Z33" s="28">
        <f>PROGRAMADO!Z33/'Anexo '!$E$23</f>
        <v>103624.21040679365</v>
      </c>
      <c r="AA33" s="28">
        <f>PROGRAMADO!AA33/'Anexo '!$E$23</f>
        <v>312353.98875296564</v>
      </c>
      <c r="AB33" s="28">
        <f>PROGRAMADO!AB33/'Anexo '!$E$23</f>
        <v>415978.19915975927</v>
      </c>
      <c r="AC33" s="28">
        <f>PROGRAMADO!AC33/'Anexo '!$E$23</f>
        <v>415978.19915975927</v>
      </c>
      <c r="AD33" s="28">
        <f>PROGRAMADO!AD33/'Anexo '!$F$23</f>
        <v>0</v>
      </c>
      <c r="AE33" s="28">
        <f>PROGRAMADO!AE33/'Anexo '!$F$23</f>
        <v>0</v>
      </c>
      <c r="AF33" s="28">
        <f>PROGRAMADO!AF33/'Anexo '!$F$23</f>
        <v>0</v>
      </c>
      <c r="AG33" s="28">
        <f>PROGRAMADO!AG33/'Anexo '!$F$23</f>
        <v>393255.20774046669</v>
      </c>
      <c r="AH33" s="28">
        <f>PROGRAMADO!AH33/'Anexo '!$F$23</f>
        <v>2440000</v>
      </c>
      <c r="AI33" s="28">
        <f>PROGRAMADO!AI33/'Anexo '!$F$23</f>
        <v>2833255.2077404666</v>
      </c>
      <c r="AJ33" s="28">
        <f>PROGRAMADO!AJ33/'Anexo '!$F$23</f>
        <v>2833255.2077404666</v>
      </c>
      <c r="AK33" s="28">
        <f>PROGRAMADO!AK33/'Anexo '!$G$23</f>
        <v>0</v>
      </c>
      <c r="AL33" s="28">
        <f>PROGRAMADO!AL33/'Anexo '!$G$23</f>
        <v>108409.8978236713</v>
      </c>
      <c r="AM33" s="28">
        <f>PROGRAMADO!AM33/'Anexo '!$G$23</f>
        <v>108409.8978236713</v>
      </c>
      <c r="AN33" s="28">
        <f>PROGRAMADO!AN33/'Anexo '!$G$23</f>
        <v>120408.27167520396</v>
      </c>
      <c r="AO33" s="28">
        <f>PROGRAMADO!AO33/'Anexo '!$G$23</f>
        <v>2751327.7502235956</v>
      </c>
      <c r="AP33" s="28">
        <f>PROGRAMADO!AP33/'Anexo '!$G$23</f>
        <v>2871736.0218987996</v>
      </c>
      <c r="AQ33" s="28">
        <f>PROGRAMADO!AQ33/'Anexo '!$G$23</f>
        <v>2980145.9197224709</v>
      </c>
      <c r="AR33" s="28">
        <f>PROGRAMADO!AR33/'Anexo '!$H$23</f>
        <v>0</v>
      </c>
      <c r="AS33" s="28">
        <f>PROGRAMADO!AS33/'Anexo '!$H$23</f>
        <v>0</v>
      </c>
      <c r="AT33" s="28">
        <f>PROGRAMADO!AT33/'Anexo '!$H$23</f>
        <v>0</v>
      </c>
      <c r="AU33" s="28">
        <f>PROGRAMADO!AU33/'Anexo '!$H$23</f>
        <v>0</v>
      </c>
      <c r="AV33" s="28">
        <f>PROGRAMADO!AV33/'Anexo '!$H$23</f>
        <v>1084457.3841492059</v>
      </c>
      <c r="AW33" s="28">
        <f>PROGRAMADO!AW33/'Anexo '!$H$23</f>
        <v>1084457.3841492059</v>
      </c>
      <c r="AX33" s="28">
        <f>PROGRAMADO!AX33/'Anexo '!$H$23</f>
        <v>1084457.3841492059</v>
      </c>
      <c r="AY33" s="28">
        <f>PROGRAMADO!AY33/'Anexo '!$I$23</f>
        <v>0</v>
      </c>
      <c r="AZ33" s="28">
        <f>PROGRAMADO!AZ33/'Anexo '!$I$23</f>
        <v>0</v>
      </c>
      <c r="BA33" s="28">
        <f>PROGRAMADO!BA33/'Anexo '!$I$23</f>
        <v>0</v>
      </c>
      <c r="BB33" s="28">
        <f>PROGRAMADO!BB33/'Anexo '!$I$23</f>
        <v>0</v>
      </c>
      <c r="BC33" s="28">
        <f>PROGRAMADO!BC33/'Anexo '!$I$23</f>
        <v>0</v>
      </c>
      <c r="BD33" s="28">
        <f>PROGRAMADO!BD33/'Anexo '!$I$23</f>
        <v>0</v>
      </c>
      <c r="BE33" s="28">
        <f>PROGRAMADO!BE33/'Anexo '!$I$23</f>
        <v>0</v>
      </c>
      <c r="BF33" s="28">
        <f>PROGRAMADO!BF33/'Anexo '!$J$23</f>
        <v>0</v>
      </c>
      <c r="BG33" s="28">
        <f>PROGRAMADO!BG33/'Anexo '!$J$23</f>
        <v>0</v>
      </c>
      <c r="BH33" s="28">
        <f>PROGRAMADO!BH33/'Anexo '!$J$23</f>
        <v>0</v>
      </c>
      <c r="BI33" s="28">
        <f>PROGRAMADO!BI33/'Anexo '!$J$23</f>
        <v>0</v>
      </c>
      <c r="BJ33" s="28">
        <f>PROGRAMADO!BJ33/'Anexo '!$J$23</f>
        <v>0</v>
      </c>
      <c r="BK33" s="28">
        <f>PROGRAMADO!BK33/'Anexo '!$J$23</f>
        <v>0</v>
      </c>
      <c r="BL33" s="28">
        <f>PROGRAMADO!BL33/'Anexo '!$J$23</f>
        <v>0</v>
      </c>
      <c r="BM33" s="28">
        <f>PROGRAMADO!BM33/'Anexo '!$K$23</f>
        <v>0</v>
      </c>
      <c r="BN33" s="28">
        <f>PROGRAMADO!BN33/'Anexo '!$K$23</f>
        <v>0</v>
      </c>
      <c r="BO33" s="28">
        <f>PROGRAMADO!BO33/'Anexo '!$K$23</f>
        <v>0</v>
      </c>
      <c r="BP33" s="28">
        <f>PROGRAMADO!BP33/'Anexo '!$K$23</f>
        <v>0</v>
      </c>
      <c r="BQ33" s="28">
        <f>PROGRAMADO!BQ33/'Anexo '!$K$23</f>
        <v>0</v>
      </c>
      <c r="BR33" s="28">
        <f>PROGRAMADO!BR33/'Anexo '!$K$23</f>
        <v>0</v>
      </c>
      <c r="BS33" s="28">
        <f>PROGRAMADO!BS33/'Anexo '!$K$23</f>
        <v>0</v>
      </c>
      <c r="BT33" s="28">
        <f>PROGRAMADO!BT33/'Anexo '!$L$23</f>
        <v>0</v>
      </c>
      <c r="BU33" s="28">
        <f>PROGRAMADO!BU33/'Anexo '!$L$23</f>
        <v>0</v>
      </c>
      <c r="BV33" s="28">
        <f>PROGRAMADO!BV33/'Anexo '!$L$23</f>
        <v>0</v>
      </c>
      <c r="BW33" s="28">
        <f>PROGRAMADO!BW33/'Anexo '!$L$23</f>
        <v>0</v>
      </c>
      <c r="BX33" s="28">
        <f>PROGRAMADO!BX33/'Anexo '!$L$23</f>
        <v>0</v>
      </c>
      <c r="BY33" s="28">
        <f>PROGRAMADO!BY33/'Anexo '!$L$23</f>
        <v>0</v>
      </c>
      <c r="BZ33" s="28">
        <f>PROGRAMADO!BZ33/'Anexo '!$L$23</f>
        <v>0</v>
      </c>
      <c r="CA33" s="28">
        <f>PROGRAMADO!CA33/'Anexo '!$L$23</f>
        <v>0</v>
      </c>
      <c r="CB33" s="28">
        <f>PROGRAMADO!CB33/'Anexo '!$M$23</f>
        <v>0</v>
      </c>
      <c r="CC33" s="28">
        <f>PROGRAMADO!CC33/'Anexo '!$M$23</f>
        <v>0</v>
      </c>
      <c r="CD33" s="28">
        <f>PROGRAMADO!CD33/'Anexo '!$M$23</f>
        <v>0</v>
      </c>
      <c r="CE33" s="28">
        <f>PROGRAMADO!CE33/'Anexo '!$M$23</f>
        <v>0</v>
      </c>
      <c r="CF33" s="28">
        <f>PROGRAMADO!CF33/'Anexo '!$M$23</f>
        <v>0</v>
      </c>
      <c r="CG33" s="28">
        <f>PROGRAMADO!CG33/'Anexo '!$M$23</f>
        <v>0</v>
      </c>
      <c r="CH33" s="28">
        <f>PROGRAMADO!CH33/'Anexo '!$M$23</f>
        <v>0</v>
      </c>
      <c r="CI33" s="29">
        <f>PROGRAMADO!CI33/'Anexo '!$M$23</f>
        <v>0</v>
      </c>
    </row>
    <row r="34" spans="1:101" x14ac:dyDescent="0.25">
      <c r="A34" s="15" t="s">
        <v>24</v>
      </c>
      <c r="B34" s="27">
        <f>PROGRAMADO!B34/'Anexo '!$B$23</f>
        <v>0</v>
      </c>
      <c r="C34" s="28">
        <f>PROGRAMADO!C34/'Anexo '!$B$23</f>
        <v>0</v>
      </c>
      <c r="D34" s="28">
        <f>PROGRAMADO!D34/'Anexo '!$B$23</f>
        <v>0</v>
      </c>
      <c r="E34" s="28">
        <f>PROGRAMADO!E34/'Anexo '!$B$23</f>
        <v>0</v>
      </c>
      <c r="F34" s="28">
        <f>PROGRAMADO!F34/'Anexo '!$B$23</f>
        <v>0</v>
      </c>
      <c r="G34" s="28">
        <f>PROGRAMADO!G34/'Anexo '!$B$23</f>
        <v>0</v>
      </c>
      <c r="H34" s="28">
        <f>PROGRAMADO!H34/'Anexo '!$B$23</f>
        <v>0</v>
      </c>
      <c r="I34" s="28">
        <f>PROGRAMADO!I34/'Anexo '!$C$23</f>
        <v>0</v>
      </c>
      <c r="J34" s="28">
        <f>PROGRAMADO!J34/'Anexo '!$C$23</f>
        <v>264788.43404120108</v>
      </c>
      <c r="K34" s="28">
        <f>PROGRAMADO!K34/'Anexo '!$C$23</f>
        <v>264788.43404120108</v>
      </c>
      <c r="L34" s="28">
        <f>PROGRAMADO!L34/'Anexo '!$C$23</f>
        <v>0</v>
      </c>
      <c r="M34" s="28">
        <f>PROGRAMADO!M34/'Anexo '!$C$23</f>
        <v>2048477.5823492028</v>
      </c>
      <c r="N34" s="28">
        <f>PROGRAMADO!N34/'Anexo '!$C$23</f>
        <v>2048477.5823492028</v>
      </c>
      <c r="O34" s="28">
        <f>PROGRAMADO!O34/'Anexo '!$C$23</f>
        <v>2313266.0163904037</v>
      </c>
      <c r="P34" s="28">
        <f>PROGRAMADO!P34/'Anexo '!$D$23</f>
        <v>0</v>
      </c>
      <c r="Q34" s="28">
        <f>PROGRAMADO!Q34/'Anexo '!$D$23</f>
        <v>330164.89618693251</v>
      </c>
      <c r="R34" s="28">
        <f>PROGRAMADO!R34/'Anexo '!$D$23</f>
        <v>330164.89618693251</v>
      </c>
      <c r="S34" s="28">
        <f>PROGRAMADO!S34/'Anexo '!$D$23</f>
        <v>0</v>
      </c>
      <c r="T34" s="28">
        <f>PROGRAMADO!T34/'Anexo '!$D$23</f>
        <v>2256432.4571916196</v>
      </c>
      <c r="U34" s="28">
        <f>PROGRAMADO!U34/'Anexo '!$D$23</f>
        <v>2256432.4571916196</v>
      </c>
      <c r="V34" s="28">
        <f>PROGRAMADO!V34/'Anexo '!$D$23</f>
        <v>2586597.353378552</v>
      </c>
      <c r="W34" s="28">
        <f>PROGRAMADO!W34/'Anexo '!$E$23</f>
        <v>0</v>
      </c>
      <c r="X34" s="28">
        <f>PROGRAMADO!X34/'Anexo '!$E$23</f>
        <v>952013.88847388141</v>
      </c>
      <c r="Y34" s="28">
        <f>PROGRAMADO!Y34/'Anexo '!$E$23</f>
        <v>952013.88847388141</v>
      </c>
      <c r="Z34" s="28">
        <f>PROGRAMADO!Z34/'Anexo '!$E$23</f>
        <v>0</v>
      </c>
      <c r="AA34" s="28">
        <f>PROGRAMADO!AA34/'Anexo '!$E$23</f>
        <v>2107128.8389020697</v>
      </c>
      <c r="AB34" s="28">
        <f>PROGRAMADO!AB34/'Anexo '!$E$23</f>
        <v>2107128.8389020697</v>
      </c>
      <c r="AC34" s="28">
        <f>PROGRAMADO!AC34/'Anexo '!$E$23</f>
        <v>3059142.7273759511</v>
      </c>
      <c r="AD34" s="28">
        <f>PROGRAMADO!AD34/'Anexo '!$F$23</f>
        <v>0</v>
      </c>
      <c r="AE34" s="28">
        <f>PROGRAMADO!AE34/'Anexo '!$F$23</f>
        <v>1109846.3289698348</v>
      </c>
      <c r="AF34" s="28">
        <f>PROGRAMADO!AF34/'Anexo '!$F$23</f>
        <v>1109846.3289698348</v>
      </c>
      <c r="AG34" s="28">
        <f>PROGRAMADO!AG34/'Anexo '!$F$23</f>
        <v>22572.168468981217</v>
      </c>
      <c r="AH34" s="28">
        <f>PROGRAMADO!AH34/'Anexo '!$F$23</f>
        <v>8837537.7916903812</v>
      </c>
      <c r="AI34" s="28">
        <f>PROGRAMADO!AI34/'Anexo '!$F$23</f>
        <v>8860109.9601593632</v>
      </c>
      <c r="AJ34" s="28">
        <f>PROGRAMADO!AJ34/'Anexo '!$F$23</f>
        <v>9969956.2891291976</v>
      </c>
      <c r="AK34" s="28">
        <f>PROGRAMADO!AK34/'Anexo '!$G$23</f>
        <v>0</v>
      </c>
      <c r="AL34" s="28">
        <f>PROGRAMADO!AL34/'Anexo '!$G$23</f>
        <v>1045109.5753042253</v>
      </c>
      <c r="AM34" s="28">
        <f>PROGRAMADO!AM34/'Anexo '!$G$23</f>
        <v>1045109.5753042253</v>
      </c>
      <c r="AN34" s="28">
        <f>PROGRAMADO!AN34/'Anexo '!$G$23</f>
        <v>0</v>
      </c>
      <c r="AO34" s="28">
        <f>PROGRAMADO!AO34/'Anexo '!$G$23</f>
        <v>8460959.4818006884</v>
      </c>
      <c r="AP34" s="28">
        <f>PROGRAMADO!AP34/'Anexo '!$G$23</f>
        <v>8460959.4818006884</v>
      </c>
      <c r="AQ34" s="28">
        <f>PROGRAMADO!AQ34/'Anexo '!$G$23</f>
        <v>9506069.0571049135</v>
      </c>
      <c r="AR34" s="28">
        <f>PROGRAMADO!AR34/'Anexo '!$H$23</f>
        <v>0</v>
      </c>
      <c r="AS34" s="28">
        <f>PROGRAMADO!AS34/'Anexo '!$H$23</f>
        <v>0</v>
      </c>
      <c r="AT34" s="28">
        <f>PROGRAMADO!AT34/'Anexo '!$H$23</f>
        <v>0</v>
      </c>
      <c r="AU34" s="28">
        <f>PROGRAMADO!AU34/'Anexo '!$H$23</f>
        <v>0</v>
      </c>
      <c r="AV34" s="28">
        <f>PROGRAMADO!AV34/'Anexo '!$H$23</f>
        <v>124688.85344235723</v>
      </c>
      <c r="AW34" s="28">
        <f>PROGRAMADO!AW34/'Anexo '!$H$23</f>
        <v>124688.85344235723</v>
      </c>
      <c r="AX34" s="28">
        <f>PROGRAMADO!AX34/'Anexo '!$H$23</f>
        <v>124688.85344235723</v>
      </c>
      <c r="AY34" s="28">
        <f>PROGRAMADO!AY34/'Anexo '!$I$23</f>
        <v>0</v>
      </c>
      <c r="AZ34" s="28">
        <f>PROGRAMADO!AZ34/'Anexo '!$I$23</f>
        <v>0</v>
      </c>
      <c r="BA34" s="28">
        <f>PROGRAMADO!BA34/'Anexo '!$I$23</f>
        <v>0</v>
      </c>
      <c r="BB34" s="28">
        <f>PROGRAMADO!BB34/'Anexo '!$I$23</f>
        <v>0</v>
      </c>
      <c r="BC34" s="28">
        <f>PROGRAMADO!BC34/'Anexo '!$I$23</f>
        <v>296347.71836857084</v>
      </c>
      <c r="BD34" s="28">
        <f>PROGRAMADO!BD34/'Anexo '!$I$23</f>
        <v>296347.71836857084</v>
      </c>
      <c r="BE34" s="28">
        <f>PROGRAMADO!BE34/'Anexo '!$I$23</f>
        <v>296347.71836857084</v>
      </c>
      <c r="BF34" s="28">
        <f>PROGRAMADO!BF34/'Anexo '!$J$23</f>
        <v>0</v>
      </c>
      <c r="BG34" s="28">
        <f>PROGRAMADO!BG34/'Anexo '!$J$23</f>
        <v>0</v>
      </c>
      <c r="BH34" s="28">
        <f>PROGRAMADO!BH34/'Anexo '!$J$23</f>
        <v>0</v>
      </c>
      <c r="BI34" s="28">
        <f>PROGRAMADO!BI34/'Anexo '!$J$23</f>
        <v>0</v>
      </c>
      <c r="BJ34" s="28">
        <f>PROGRAMADO!BJ34/'Anexo '!$J$23</f>
        <v>264488.25644771592</v>
      </c>
      <c r="BK34" s="28">
        <f>PROGRAMADO!BK34/'Anexo '!$J$23</f>
        <v>264488.25644771592</v>
      </c>
      <c r="BL34" s="28">
        <f>PROGRAMADO!BL34/'Anexo '!$J$23</f>
        <v>264488.25644771592</v>
      </c>
      <c r="BM34" s="28">
        <f>PROGRAMADO!BM34/'Anexo '!$K$23</f>
        <v>0</v>
      </c>
      <c r="BN34" s="28">
        <f>PROGRAMADO!BN34/'Anexo '!$K$23</f>
        <v>0</v>
      </c>
      <c r="BO34" s="28">
        <f>PROGRAMADO!BO34/'Anexo '!$K$23</f>
        <v>0</v>
      </c>
      <c r="BP34" s="28">
        <f>PROGRAMADO!BP34/'Anexo '!$K$23</f>
        <v>0</v>
      </c>
      <c r="BQ34" s="28">
        <f>PROGRAMADO!BQ34/'Anexo '!$K$23</f>
        <v>0</v>
      </c>
      <c r="BR34" s="28">
        <f>PROGRAMADO!BR34/'Anexo '!$K$23</f>
        <v>0</v>
      </c>
      <c r="BS34" s="28">
        <f>PROGRAMADO!BS34/'Anexo '!$K$23</f>
        <v>0</v>
      </c>
      <c r="BT34" s="28">
        <f>PROGRAMADO!BT34/'Anexo '!$L$23</f>
        <v>0</v>
      </c>
      <c r="BU34" s="28">
        <f>PROGRAMADO!BU34/'Anexo '!$L$23</f>
        <v>0</v>
      </c>
      <c r="BV34" s="28">
        <f>PROGRAMADO!BV34/'Anexo '!$L$23</f>
        <v>0</v>
      </c>
      <c r="BW34" s="28">
        <f>PROGRAMADO!BW34/'Anexo '!$L$23</f>
        <v>0</v>
      </c>
      <c r="BX34" s="28">
        <f>PROGRAMADO!BX34/'Anexo '!$L$23</f>
        <v>0</v>
      </c>
      <c r="BY34" s="28">
        <f>PROGRAMADO!BY34/'Anexo '!$L$23</f>
        <v>0</v>
      </c>
      <c r="BZ34" s="28">
        <f>PROGRAMADO!BZ34/'Anexo '!$L$23</f>
        <v>0</v>
      </c>
      <c r="CA34" s="28">
        <f>PROGRAMADO!CA34/'Anexo '!$L$23</f>
        <v>0</v>
      </c>
      <c r="CB34" s="28">
        <f>PROGRAMADO!CB34/'Anexo '!$M$23</f>
        <v>0</v>
      </c>
      <c r="CC34" s="28">
        <f>PROGRAMADO!CC34/'Anexo '!$M$23</f>
        <v>0</v>
      </c>
      <c r="CD34" s="28">
        <f>PROGRAMADO!CD34/'Anexo '!$M$23</f>
        <v>0</v>
      </c>
      <c r="CE34" s="28">
        <f>PROGRAMADO!CE34/'Anexo '!$M$23</f>
        <v>0</v>
      </c>
      <c r="CF34" s="28">
        <f>PROGRAMADO!CF34/'Anexo '!$M$23</f>
        <v>0</v>
      </c>
      <c r="CG34" s="28">
        <f>PROGRAMADO!CG34/'Anexo '!$M$23</f>
        <v>0</v>
      </c>
      <c r="CH34" s="28">
        <f>PROGRAMADO!CH34/'Anexo '!$M$23</f>
        <v>0</v>
      </c>
      <c r="CI34" s="29">
        <f>PROGRAMADO!CI34/'Anexo '!$M$23</f>
        <v>0</v>
      </c>
    </row>
    <row r="35" spans="1:101" x14ac:dyDescent="0.25">
      <c r="A35" s="15" t="s">
        <v>68</v>
      </c>
      <c r="B35" s="27">
        <f>PROGRAMADO!B35/'Anexo '!$B$23</f>
        <v>0</v>
      </c>
      <c r="C35" s="28">
        <f>PROGRAMADO!C35/'Anexo '!$B$23</f>
        <v>24980.177246987994</v>
      </c>
      <c r="D35" s="28">
        <f>PROGRAMADO!D35/'Anexo '!$B$23</f>
        <v>24980.177246987994</v>
      </c>
      <c r="E35" s="28">
        <f>PROGRAMADO!E35/'Anexo '!$B$23</f>
        <v>418488.13792425953</v>
      </c>
      <c r="F35" s="28">
        <f>PROGRAMADO!F35/'Anexo '!$B$23</f>
        <v>2617368.2400903776</v>
      </c>
      <c r="G35" s="28">
        <f>PROGRAMADO!G35/'Anexo '!$B$23</f>
        <v>3035856.3780146372</v>
      </c>
      <c r="H35" s="28">
        <f>PROGRAMADO!H35/'Anexo '!$B$23</f>
        <v>3060836.555261625</v>
      </c>
      <c r="I35" s="28">
        <f>PROGRAMADO!I35/'Anexo '!$C$23</f>
        <v>0</v>
      </c>
      <c r="J35" s="28">
        <f>PROGRAMADO!J35/'Anexo '!$C$23</f>
        <v>555955.12365619873</v>
      </c>
      <c r="K35" s="28">
        <f>PROGRAMADO!K35/'Anexo '!$C$23</f>
        <v>555955.12365619873</v>
      </c>
      <c r="L35" s="28">
        <f>PROGRAMADO!L35/'Anexo '!$C$23</f>
        <v>0</v>
      </c>
      <c r="M35" s="28">
        <f>PROGRAMADO!M35/'Anexo '!$C$23</f>
        <v>3087719.112429169</v>
      </c>
      <c r="N35" s="28">
        <f>PROGRAMADO!N35/'Anexo '!$C$23</f>
        <v>3087719.112429169</v>
      </c>
      <c r="O35" s="28">
        <f>PROGRAMADO!O35/'Anexo '!$C$23</f>
        <v>3643674.2360853674</v>
      </c>
      <c r="P35" s="28">
        <f>PROGRAMADO!P35/'Anexo '!$D$23</f>
        <v>0</v>
      </c>
      <c r="Q35" s="28">
        <f>PROGRAMADO!Q35/'Anexo '!$D$23</f>
        <v>184836.82932491702</v>
      </c>
      <c r="R35" s="28">
        <f>PROGRAMADO!R35/'Anexo '!$D$23</f>
        <v>184836.82932491702</v>
      </c>
      <c r="S35" s="28">
        <f>PROGRAMADO!S35/'Anexo '!$D$23</f>
        <v>0</v>
      </c>
      <c r="T35" s="28">
        <f>PROGRAMADO!T35/'Anexo '!$D$23</f>
        <v>877750.18353171484</v>
      </c>
      <c r="U35" s="28">
        <f>PROGRAMADO!U35/'Anexo '!$D$23</f>
        <v>877750.18353171484</v>
      </c>
      <c r="V35" s="28">
        <f>PROGRAMADO!V35/'Anexo '!$D$23</f>
        <v>1062587.012856632</v>
      </c>
      <c r="W35" s="28">
        <f>PROGRAMADO!W35/'Anexo '!$E$23</f>
        <v>0</v>
      </c>
      <c r="X35" s="28">
        <f>PROGRAMADO!X35/'Anexo '!$E$23</f>
        <v>0</v>
      </c>
      <c r="Y35" s="28">
        <f>PROGRAMADO!Y35/'Anexo '!$E$23</f>
        <v>0</v>
      </c>
      <c r="Z35" s="28">
        <f>PROGRAMADO!Z35/'Anexo '!$E$23</f>
        <v>0</v>
      </c>
      <c r="AA35" s="28">
        <f>PROGRAMADO!AA35/'Anexo '!$E$23</f>
        <v>0</v>
      </c>
      <c r="AB35" s="28">
        <f>PROGRAMADO!AB35/'Anexo '!$E$23</f>
        <v>0</v>
      </c>
      <c r="AC35" s="28">
        <f>PROGRAMADO!AC35/'Anexo '!$E$23</f>
        <v>0</v>
      </c>
      <c r="AD35" s="28">
        <f>PROGRAMADO!AD35/'Anexo '!$F$23</f>
        <v>0</v>
      </c>
      <c r="AE35" s="28">
        <f>PROGRAMADO!AE35/'Anexo '!$F$23</f>
        <v>0</v>
      </c>
      <c r="AF35" s="28">
        <f>PROGRAMADO!AF35/'Anexo '!$F$23</f>
        <v>0</v>
      </c>
      <c r="AG35" s="28">
        <f>PROGRAMADO!AG35/'Anexo '!$F$23</f>
        <v>0</v>
      </c>
      <c r="AH35" s="28">
        <f>PROGRAMADO!AH35/'Anexo '!$F$23</f>
        <v>0</v>
      </c>
      <c r="AI35" s="28">
        <f>PROGRAMADO!AI35/'Anexo '!$F$23</f>
        <v>0</v>
      </c>
      <c r="AJ35" s="28">
        <f>PROGRAMADO!AJ35/'Anexo '!$F$23</f>
        <v>0</v>
      </c>
      <c r="AK35" s="28">
        <f>PROGRAMADO!AK35/'Anexo '!$G$23</f>
        <v>0</v>
      </c>
      <c r="AL35" s="28">
        <f>PROGRAMADO!AL35/'Anexo '!$G$23</f>
        <v>0</v>
      </c>
      <c r="AM35" s="28">
        <f>PROGRAMADO!AM35/'Anexo '!$G$23</f>
        <v>0</v>
      </c>
      <c r="AN35" s="28">
        <f>PROGRAMADO!AN35/'Anexo '!$G$23</f>
        <v>0</v>
      </c>
      <c r="AO35" s="28">
        <f>PROGRAMADO!AO35/'Anexo '!$G$23</f>
        <v>0</v>
      </c>
      <c r="AP35" s="28">
        <f>PROGRAMADO!AP35/'Anexo '!$G$23</f>
        <v>0</v>
      </c>
      <c r="AQ35" s="28">
        <f>PROGRAMADO!AQ35/'Anexo '!$G$23</f>
        <v>0</v>
      </c>
      <c r="AR35" s="28">
        <f>PROGRAMADO!AR35/'Anexo '!$H$23</f>
        <v>0</v>
      </c>
      <c r="AS35" s="28">
        <f>PROGRAMADO!AS35/'Anexo '!$H$23</f>
        <v>0</v>
      </c>
      <c r="AT35" s="28">
        <f>PROGRAMADO!AT35/'Anexo '!$H$23</f>
        <v>0</v>
      </c>
      <c r="AU35" s="28">
        <f>PROGRAMADO!AU35/'Anexo '!$H$23</f>
        <v>0</v>
      </c>
      <c r="AV35" s="28">
        <f>PROGRAMADO!AV35/'Anexo '!$H$23</f>
        <v>0</v>
      </c>
      <c r="AW35" s="28">
        <f>PROGRAMADO!AW35/'Anexo '!$H$23</f>
        <v>0</v>
      </c>
      <c r="AX35" s="28">
        <f>PROGRAMADO!AX35/'Anexo '!$H$23</f>
        <v>0</v>
      </c>
      <c r="AY35" s="28">
        <f>PROGRAMADO!AY35/'Anexo '!$I$23</f>
        <v>0</v>
      </c>
      <c r="AZ35" s="28">
        <f>PROGRAMADO!AZ35/'Anexo '!$I$23</f>
        <v>0</v>
      </c>
      <c r="BA35" s="28">
        <f>PROGRAMADO!BA35/'Anexo '!$I$23</f>
        <v>0</v>
      </c>
      <c r="BB35" s="28">
        <f>PROGRAMADO!BB35/'Anexo '!$I$23</f>
        <v>0</v>
      </c>
      <c r="BC35" s="28">
        <f>PROGRAMADO!BC35/'Anexo '!$I$23</f>
        <v>0</v>
      </c>
      <c r="BD35" s="28">
        <f>PROGRAMADO!BD35/'Anexo '!$I$23</f>
        <v>0</v>
      </c>
      <c r="BE35" s="28">
        <f>PROGRAMADO!BE35/'Anexo '!$I$23</f>
        <v>0</v>
      </c>
      <c r="BF35" s="28">
        <f>PROGRAMADO!BF35/'Anexo '!$J$23</f>
        <v>0</v>
      </c>
      <c r="BG35" s="28">
        <f>PROGRAMADO!BG35/'Anexo '!$J$23</f>
        <v>0</v>
      </c>
      <c r="BH35" s="28">
        <f>PROGRAMADO!BH35/'Anexo '!$J$23</f>
        <v>0</v>
      </c>
      <c r="BI35" s="28">
        <f>PROGRAMADO!BI35/'Anexo '!$J$23</f>
        <v>0</v>
      </c>
      <c r="BJ35" s="28">
        <f>PROGRAMADO!BJ35/'Anexo '!$J$23</f>
        <v>0</v>
      </c>
      <c r="BK35" s="28">
        <f>PROGRAMADO!BK35/'Anexo '!$J$23</f>
        <v>0</v>
      </c>
      <c r="BL35" s="28">
        <f>PROGRAMADO!BL35/'Anexo '!$J$23</f>
        <v>0</v>
      </c>
      <c r="BM35" s="28">
        <f>PROGRAMADO!BM35/'Anexo '!$K$23</f>
        <v>0</v>
      </c>
      <c r="BN35" s="28">
        <f>PROGRAMADO!BN35/'Anexo '!$K$23</f>
        <v>0</v>
      </c>
      <c r="BO35" s="28">
        <f>PROGRAMADO!BO35/'Anexo '!$K$23</f>
        <v>0</v>
      </c>
      <c r="BP35" s="28">
        <f>PROGRAMADO!BP35/'Anexo '!$K$23</f>
        <v>0</v>
      </c>
      <c r="BQ35" s="28">
        <f>PROGRAMADO!BQ35/'Anexo '!$K$23</f>
        <v>0</v>
      </c>
      <c r="BR35" s="28">
        <f>PROGRAMADO!BR35/'Anexo '!$K$23</f>
        <v>0</v>
      </c>
      <c r="BS35" s="28">
        <f>PROGRAMADO!BS35/'Anexo '!$K$23</f>
        <v>0</v>
      </c>
      <c r="BT35" s="28">
        <f>PROGRAMADO!BT35/'Anexo '!$L$23</f>
        <v>0</v>
      </c>
      <c r="BU35" s="28">
        <f>PROGRAMADO!BU35/'Anexo '!$L$23</f>
        <v>0</v>
      </c>
      <c r="BV35" s="28">
        <f>PROGRAMADO!BV35/'Anexo '!$L$23</f>
        <v>0</v>
      </c>
      <c r="BW35" s="28">
        <f>PROGRAMADO!BW35/'Anexo '!$L$23</f>
        <v>0</v>
      </c>
      <c r="BX35" s="28">
        <f>PROGRAMADO!BX35/'Anexo '!$L$23</f>
        <v>0</v>
      </c>
      <c r="BY35" s="28">
        <f>PROGRAMADO!BY35/'Anexo '!$L$23</f>
        <v>0</v>
      </c>
      <c r="BZ35" s="28">
        <f>PROGRAMADO!BZ35/'Anexo '!$L$23</f>
        <v>0</v>
      </c>
      <c r="CA35" s="28">
        <f>PROGRAMADO!CA35/'Anexo '!$L$23</f>
        <v>0</v>
      </c>
      <c r="CB35" s="28">
        <f>PROGRAMADO!CB35/'Anexo '!$M$23</f>
        <v>0</v>
      </c>
      <c r="CC35" s="28">
        <f>PROGRAMADO!CC35/'Anexo '!$M$23</f>
        <v>0</v>
      </c>
      <c r="CD35" s="28">
        <f>PROGRAMADO!CD35/'Anexo '!$M$23</f>
        <v>0</v>
      </c>
      <c r="CE35" s="28">
        <f>PROGRAMADO!CE35/'Anexo '!$M$23</f>
        <v>0</v>
      </c>
      <c r="CF35" s="28">
        <f>PROGRAMADO!CF35/'Anexo '!$M$23</f>
        <v>0</v>
      </c>
      <c r="CG35" s="28">
        <f>PROGRAMADO!CG35/'Anexo '!$M$23</f>
        <v>0</v>
      </c>
      <c r="CH35" s="28">
        <f>PROGRAMADO!CH35/'Anexo '!$M$23</f>
        <v>0</v>
      </c>
      <c r="CI35" s="29">
        <f>PROGRAMADO!CI35/'Anexo '!$M$23</f>
        <v>0</v>
      </c>
    </row>
    <row r="36" spans="1:101" x14ac:dyDescent="0.25">
      <c r="A36" s="15" t="s">
        <v>69</v>
      </c>
      <c r="B36" s="27">
        <f>PROGRAMADO!B36/'Anexo '!$B$23</f>
        <v>0</v>
      </c>
      <c r="C36" s="28">
        <f>PROGRAMADO!C36/'Anexo '!$B$23</f>
        <v>0</v>
      </c>
      <c r="D36" s="28">
        <f>PROGRAMADO!D36/'Anexo '!$B$23</f>
        <v>0</v>
      </c>
      <c r="E36" s="28">
        <f>PROGRAMADO!E36/'Anexo '!$B$23</f>
        <v>0</v>
      </c>
      <c r="F36" s="28">
        <f>PROGRAMADO!F36/'Anexo '!$B$23</f>
        <v>0</v>
      </c>
      <c r="G36" s="28">
        <f>PROGRAMADO!G36/'Anexo '!$B$23</f>
        <v>0</v>
      </c>
      <c r="H36" s="28">
        <f>PROGRAMADO!H36/'Anexo '!$B$23</f>
        <v>0</v>
      </c>
      <c r="I36" s="28">
        <f>PROGRAMADO!I36/'Anexo '!$C$23</f>
        <v>0</v>
      </c>
      <c r="J36" s="28">
        <f>PROGRAMADO!J36/'Anexo '!$C$23</f>
        <v>0</v>
      </c>
      <c r="K36" s="28">
        <f>PROGRAMADO!K36/'Anexo '!$C$23</f>
        <v>0</v>
      </c>
      <c r="L36" s="28">
        <f>PROGRAMADO!L36/'Anexo '!$C$23</f>
        <v>0</v>
      </c>
      <c r="M36" s="28">
        <f>PROGRAMADO!M36/'Anexo '!$C$23</f>
        <v>0</v>
      </c>
      <c r="N36" s="28">
        <f>PROGRAMADO!N36/'Anexo '!$C$23</f>
        <v>0</v>
      </c>
      <c r="O36" s="28">
        <f>PROGRAMADO!O36/'Anexo '!$C$23</f>
        <v>0</v>
      </c>
      <c r="P36" s="28">
        <f>PROGRAMADO!P36/'Anexo '!$D$23</f>
        <v>0</v>
      </c>
      <c r="Q36" s="28">
        <f>PROGRAMADO!Q36/'Anexo '!$D$23</f>
        <v>0</v>
      </c>
      <c r="R36" s="28">
        <f>PROGRAMADO!R36/'Anexo '!$D$23</f>
        <v>0</v>
      </c>
      <c r="S36" s="28">
        <f>PROGRAMADO!S36/'Anexo '!$D$23</f>
        <v>0</v>
      </c>
      <c r="T36" s="28">
        <f>PROGRAMADO!T36/'Anexo '!$D$23</f>
        <v>62745.885438562364</v>
      </c>
      <c r="U36" s="28">
        <f>PROGRAMADO!U36/'Anexo '!$D$23</f>
        <v>62745.885438562364</v>
      </c>
      <c r="V36" s="28">
        <f>PROGRAMADO!V36/'Anexo '!$D$23</f>
        <v>62745.885438562364</v>
      </c>
      <c r="W36" s="28">
        <f>PROGRAMADO!W36/'Anexo '!$E$23</f>
        <v>0</v>
      </c>
      <c r="X36" s="28">
        <f>PROGRAMADO!X36/'Anexo '!$E$23</f>
        <v>0</v>
      </c>
      <c r="Y36" s="28">
        <f>PROGRAMADO!Y36/'Anexo '!$E$23</f>
        <v>0</v>
      </c>
      <c r="Z36" s="28">
        <f>PROGRAMADO!Z36/'Anexo '!$E$23</f>
        <v>29880.537610632691</v>
      </c>
      <c r="AA36" s="28">
        <f>PROGRAMADO!AA36/'Anexo '!$E$23</f>
        <v>291335.24170366873</v>
      </c>
      <c r="AB36" s="28">
        <f>PROGRAMADO!AB36/'Anexo '!$E$23</f>
        <v>321215.77931430144</v>
      </c>
      <c r="AC36" s="28">
        <f>PROGRAMADO!AC36/'Anexo '!$E$23</f>
        <v>321215.77931430144</v>
      </c>
      <c r="AD36" s="28">
        <f>PROGRAMADO!AD36/'Anexo '!$F$23</f>
        <v>0</v>
      </c>
      <c r="AE36" s="28">
        <f>PROGRAMADO!AE36/'Anexo '!$F$23</f>
        <v>1695.2191235059761</v>
      </c>
      <c r="AF36" s="28">
        <f>PROGRAMADO!AF36/'Anexo '!$F$23</f>
        <v>1695.2191235059761</v>
      </c>
      <c r="AG36" s="28">
        <f>PROGRAMADO!AG36/'Anexo '!$F$23</f>
        <v>8336246.1013090489</v>
      </c>
      <c r="AH36" s="28">
        <f>PROGRAMADO!AH36/'Anexo '!$F$23</f>
        <v>0</v>
      </c>
      <c r="AI36" s="28">
        <f>PROGRAMADO!AI36/'Anexo '!$F$23</f>
        <v>8336246.1013090489</v>
      </c>
      <c r="AJ36" s="28">
        <f>PROGRAMADO!AJ36/'Anexo '!$F$23</f>
        <v>8337941.3204325549</v>
      </c>
      <c r="AK36" s="28">
        <f>PROGRAMADO!AK36/'Anexo '!$G$23</f>
        <v>0</v>
      </c>
      <c r="AL36" s="28">
        <f>PROGRAMADO!AL36/'Anexo '!$G$23</f>
        <v>67901.401197929372</v>
      </c>
      <c r="AM36" s="28">
        <f>PROGRAMADO!AM36/'Anexo '!$G$23</f>
        <v>67901.401197929372</v>
      </c>
      <c r="AN36" s="28">
        <f>PROGRAMADO!AN36/'Anexo '!$G$23</f>
        <v>1667823.8881209856</v>
      </c>
      <c r="AO36" s="28">
        <f>PROGRAMADO!AO36/'Anexo '!$G$23</f>
        <v>4813962.8696099957</v>
      </c>
      <c r="AP36" s="28">
        <f>PROGRAMADO!AP36/'Anexo '!$G$23</f>
        <v>6481786.7577309813</v>
      </c>
      <c r="AQ36" s="28">
        <f>PROGRAMADO!AQ36/'Anexo '!$G$23</f>
        <v>6549688.1589289103</v>
      </c>
      <c r="AR36" s="28">
        <f>PROGRAMADO!AR36/'Anexo '!$H$23</f>
        <v>0</v>
      </c>
      <c r="AS36" s="28">
        <f>PROGRAMADO!AS36/'Anexo '!$H$23</f>
        <v>61908.2278971087</v>
      </c>
      <c r="AT36" s="28">
        <f>PROGRAMADO!AT36/'Anexo '!$H$23</f>
        <v>61908.2278971087</v>
      </c>
      <c r="AU36" s="28">
        <f>PROGRAMADO!AU36/'Anexo '!$H$23</f>
        <v>412597.62852378964</v>
      </c>
      <c r="AV36" s="28">
        <f>PROGRAMADO!AV36/'Anexo '!$H$23</f>
        <v>10841331.413026083</v>
      </c>
      <c r="AW36" s="28">
        <f>PROGRAMADO!AW36/'Anexo '!$H$23</f>
        <v>11253929.041549874</v>
      </c>
      <c r="AX36" s="28">
        <f>PROGRAMADO!AX36/'Anexo '!$H$23</f>
        <v>11315837.269446982</v>
      </c>
      <c r="AY36" s="28">
        <f>PROGRAMADO!AY36/'Anexo '!$I$23</f>
        <v>0</v>
      </c>
      <c r="AZ36" s="28">
        <f>PROGRAMADO!AZ36/'Anexo '!$I$23</f>
        <v>0</v>
      </c>
      <c r="BA36" s="28">
        <f>PROGRAMADO!BA36/'Anexo '!$I$23</f>
        <v>0</v>
      </c>
      <c r="BB36" s="28">
        <f>PROGRAMADO!BB36/'Anexo '!$I$23</f>
        <v>0</v>
      </c>
      <c r="BC36" s="28">
        <f>PROGRAMADO!BC36/'Anexo '!$I$23</f>
        <v>0</v>
      </c>
      <c r="BD36" s="28">
        <f>PROGRAMADO!BD36/'Anexo '!$I$23</f>
        <v>0</v>
      </c>
      <c r="BE36" s="28">
        <f>PROGRAMADO!BE36/'Anexo '!$I$23</f>
        <v>0</v>
      </c>
      <c r="BF36" s="28">
        <f>PROGRAMADO!BF36/'Anexo '!$J$23</f>
        <v>0</v>
      </c>
      <c r="BG36" s="28">
        <f>PROGRAMADO!BG36/'Anexo '!$J$23</f>
        <v>0</v>
      </c>
      <c r="BH36" s="28">
        <f>PROGRAMADO!BH36/'Anexo '!$J$23</f>
        <v>0</v>
      </c>
      <c r="BI36" s="28">
        <f>PROGRAMADO!BI36/'Anexo '!$J$23</f>
        <v>0</v>
      </c>
      <c r="BJ36" s="28">
        <f>PROGRAMADO!BJ36/'Anexo '!$J$23</f>
        <v>0</v>
      </c>
      <c r="BK36" s="28">
        <f>PROGRAMADO!BK36/'Anexo '!$J$23</f>
        <v>0</v>
      </c>
      <c r="BL36" s="28">
        <f>PROGRAMADO!BL36/'Anexo '!$J$23</f>
        <v>0</v>
      </c>
      <c r="BM36" s="28">
        <f>PROGRAMADO!BM36/'Anexo '!$K$23</f>
        <v>0</v>
      </c>
      <c r="BN36" s="28">
        <f>PROGRAMADO!BN36/'Anexo '!$K$23</f>
        <v>0</v>
      </c>
      <c r="BO36" s="28">
        <f>PROGRAMADO!BO36/'Anexo '!$K$23</f>
        <v>0</v>
      </c>
      <c r="BP36" s="28">
        <f>PROGRAMADO!BP36/'Anexo '!$K$23</f>
        <v>0</v>
      </c>
      <c r="BQ36" s="28">
        <f>PROGRAMADO!BQ36/'Anexo '!$K$23</f>
        <v>0</v>
      </c>
      <c r="BR36" s="28">
        <f>PROGRAMADO!BR36/'Anexo '!$K$23</f>
        <v>0</v>
      </c>
      <c r="BS36" s="28">
        <f>PROGRAMADO!BS36/'Anexo '!$K$23</f>
        <v>0</v>
      </c>
      <c r="BT36" s="28">
        <f>PROGRAMADO!BT36/'Anexo '!$L$23</f>
        <v>0</v>
      </c>
      <c r="BU36" s="28">
        <f>PROGRAMADO!BU36/'Anexo '!$L$23</f>
        <v>0</v>
      </c>
      <c r="BV36" s="28">
        <f>PROGRAMADO!BV36/'Anexo '!$L$23</f>
        <v>0</v>
      </c>
      <c r="BW36" s="28">
        <f>PROGRAMADO!BW36/'Anexo '!$L$23</f>
        <v>0</v>
      </c>
      <c r="BX36" s="28">
        <f>PROGRAMADO!BX36/'Anexo '!$L$23</f>
        <v>0</v>
      </c>
      <c r="BY36" s="28">
        <f>PROGRAMADO!BY36/'Anexo '!$L$23</f>
        <v>0</v>
      </c>
      <c r="BZ36" s="28">
        <f>PROGRAMADO!BZ36/'Anexo '!$L$23</f>
        <v>0</v>
      </c>
      <c r="CA36" s="28">
        <f>PROGRAMADO!CA36/'Anexo '!$L$23</f>
        <v>0</v>
      </c>
      <c r="CB36" s="28">
        <f>PROGRAMADO!CB36/'Anexo '!$M$23</f>
        <v>0</v>
      </c>
      <c r="CC36" s="28">
        <f>PROGRAMADO!CC36/'Anexo '!$M$23</f>
        <v>0</v>
      </c>
      <c r="CD36" s="28">
        <f>PROGRAMADO!CD36/'Anexo '!$M$23</f>
        <v>0</v>
      </c>
      <c r="CE36" s="28">
        <f>PROGRAMADO!CE36/'Anexo '!$M$23</f>
        <v>0</v>
      </c>
      <c r="CF36" s="28">
        <f>PROGRAMADO!CF36/'Anexo '!$M$23</f>
        <v>0</v>
      </c>
      <c r="CG36" s="28">
        <f>PROGRAMADO!CG36/'Anexo '!$M$23</f>
        <v>0</v>
      </c>
      <c r="CH36" s="28">
        <f>PROGRAMADO!CH36/'Anexo '!$M$23</f>
        <v>0</v>
      </c>
      <c r="CI36" s="29">
        <f>PROGRAMADO!CI36/'Anexo '!$M$23</f>
        <v>0</v>
      </c>
    </row>
    <row r="37" spans="1:101" x14ac:dyDescent="0.25">
      <c r="A37" s="15" t="s">
        <v>70</v>
      </c>
      <c r="B37" s="27">
        <f>PROGRAMADO!B37/'Anexo '!$B$23</f>
        <v>0</v>
      </c>
      <c r="C37" s="28">
        <f>PROGRAMADO!C37/'Anexo '!$B$23</f>
        <v>0</v>
      </c>
      <c r="D37" s="28">
        <f>PROGRAMADO!D37/'Anexo '!$B$23</f>
        <v>0</v>
      </c>
      <c r="E37" s="28">
        <f>PROGRAMADO!E37/'Anexo '!$B$23</f>
        <v>0</v>
      </c>
      <c r="F37" s="28">
        <f>PROGRAMADO!F37/'Anexo '!$B$23</f>
        <v>0</v>
      </c>
      <c r="G37" s="28">
        <f>PROGRAMADO!G37/'Anexo '!$B$23</f>
        <v>0</v>
      </c>
      <c r="H37" s="28">
        <f>PROGRAMADO!H37/'Anexo '!$B$23</f>
        <v>0</v>
      </c>
      <c r="I37" s="28">
        <f>PROGRAMADO!I37/'Anexo '!$C$23</f>
        <v>0</v>
      </c>
      <c r="J37" s="28">
        <f>PROGRAMADO!J37/'Anexo '!$C$23</f>
        <v>0</v>
      </c>
      <c r="K37" s="28">
        <f>PROGRAMADO!K37/'Anexo '!$C$23</f>
        <v>0</v>
      </c>
      <c r="L37" s="28">
        <f>PROGRAMADO!L37/'Anexo '!$C$23</f>
        <v>0</v>
      </c>
      <c r="M37" s="28">
        <f>PROGRAMADO!M37/'Anexo '!$C$23</f>
        <v>0</v>
      </c>
      <c r="N37" s="28">
        <f>PROGRAMADO!N37/'Anexo '!$C$23</f>
        <v>0</v>
      </c>
      <c r="O37" s="28">
        <f>PROGRAMADO!O37/'Anexo '!$C$23</f>
        <v>0</v>
      </c>
      <c r="P37" s="28">
        <f>PROGRAMADO!P37/'Anexo '!$D$23</f>
        <v>0</v>
      </c>
      <c r="Q37" s="28">
        <f>PROGRAMADO!Q37/'Anexo '!$D$23</f>
        <v>15686.471359640591</v>
      </c>
      <c r="R37" s="28">
        <f>PROGRAMADO!R37/'Anexo '!$D$23</f>
        <v>15686.471359640591</v>
      </c>
      <c r="S37" s="28">
        <f>PROGRAMADO!S37/'Anexo '!$D$23</f>
        <v>0</v>
      </c>
      <c r="T37" s="28">
        <f>PROGRAMADO!T37/'Anexo '!$D$23</f>
        <v>2918154.2670339392</v>
      </c>
      <c r="U37" s="28">
        <f>PROGRAMADO!U37/'Anexo '!$D$23</f>
        <v>2918154.2670339392</v>
      </c>
      <c r="V37" s="28">
        <f>PROGRAMADO!V37/'Anexo '!$D$23</f>
        <v>2933840.7383935796</v>
      </c>
      <c r="W37" s="28">
        <f>PROGRAMADO!W37/'Anexo '!$E$23</f>
        <v>0</v>
      </c>
      <c r="X37" s="28">
        <f>PROGRAMADO!X37/'Anexo '!$E$23</f>
        <v>29880.537610632691</v>
      </c>
      <c r="Y37" s="28">
        <f>PROGRAMADO!Y37/'Anexo '!$E$23</f>
        <v>29880.537610632691</v>
      </c>
      <c r="Z37" s="28">
        <f>PROGRAMADO!Z37/'Anexo '!$E$23</f>
        <v>0</v>
      </c>
      <c r="AA37" s="28">
        <f>PROGRAMADO!AA37/'Anexo '!$E$23</f>
        <v>0</v>
      </c>
      <c r="AB37" s="28">
        <f>PROGRAMADO!AB37/'Anexo '!$E$23</f>
        <v>0</v>
      </c>
      <c r="AC37" s="28">
        <f>PROGRAMADO!AC37/'Anexo '!$E$23</f>
        <v>29880.537610632691</v>
      </c>
      <c r="AD37" s="28">
        <f>PROGRAMADO!AD37/'Anexo '!$F$23</f>
        <v>0</v>
      </c>
      <c r="AE37" s="28">
        <f>PROGRAMADO!AE37/'Anexo '!$F$23</f>
        <v>0</v>
      </c>
      <c r="AF37" s="28">
        <f>PROGRAMADO!AF37/'Anexo '!$F$23</f>
        <v>0</v>
      </c>
      <c r="AG37" s="28">
        <f>PROGRAMADO!AG37/'Anexo '!$F$23</f>
        <v>0</v>
      </c>
      <c r="AH37" s="28">
        <f>PROGRAMADO!AH37/'Anexo '!$F$23</f>
        <v>0</v>
      </c>
      <c r="AI37" s="28">
        <f>PROGRAMADO!AI37/'Anexo '!$F$23</f>
        <v>0</v>
      </c>
      <c r="AJ37" s="28">
        <f>PROGRAMADO!AJ37/'Anexo '!$F$23</f>
        <v>0</v>
      </c>
      <c r="AK37" s="28">
        <f>PROGRAMADO!AK37/'Anexo '!$G$23</f>
        <v>0</v>
      </c>
      <c r="AL37" s="28">
        <f>PROGRAMADO!AL37/'Anexo '!$G$23</f>
        <v>0</v>
      </c>
      <c r="AM37" s="28">
        <f>PROGRAMADO!AM37/'Anexo '!$G$23</f>
        <v>0</v>
      </c>
      <c r="AN37" s="28">
        <f>PROGRAMADO!AN37/'Anexo '!$G$23</f>
        <v>0</v>
      </c>
      <c r="AO37" s="28">
        <f>PROGRAMADO!AO37/'Anexo '!$G$23</f>
        <v>0</v>
      </c>
      <c r="AP37" s="28">
        <f>PROGRAMADO!AP37/'Anexo '!$G$23</f>
        <v>0</v>
      </c>
      <c r="AQ37" s="28">
        <f>PROGRAMADO!AQ37/'Anexo '!$G$23</f>
        <v>0</v>
      </c>
      <c r="AR37" s="28">
        <f>PROGRAMADO!AR37/'Anexo '!$H$23</f>
        <v>0</v>
      </c>
      <c r="AS37" s="28">
        <f>PROGRAMADO!AS37/'Anexo '!$H$23</f>
        <v>0</v>
      </c>
      <c r="AT37" s="28">
        <f>PROGRAMADO!AT37/'Anexo '!$H$23</f>
        <v>0</v>
      </c>
      <c r="AU37" s="28">
        <f>PROGRAMADO!AU37/'Anexo '!$H$23</f>
        <v>0</v>
      </c>
      <c r="AV37" s="28">
        <f>PROGRAMADO!AV37/'Anexo '!$H$23</f>
        <v>0</v>
      </c>
      <c r="AW37" s="28">
        <f>PROGRAMADO!AW37/'Anexo '!$H$23</f>
        <v>0</v>
      </c>
      <c r="AX37" s="28">
        <f>PROGRAMADO!AX37/'Anexo '!$H$23</f>
        <v>0</v>
      </c>
      <c r="AY37" s="28">
        <f>PROGRAMADO!AY37/'Anexo '!$I$23</f>
        <v>0</v>
      </c>
      <c r="AZ37" s="28">
        <f>PROGRAMADO!AZ37/'Anexo '!$I$23</f>
        <v>0</v>
      </c>
      <c r="BA37" s="28">
        <f>PROGRAMADO!BA37/'Anexo '!$I$23</f>
        <v>0</v>
      </c>
      <c r="BB37" s="28">
        <f>PROGRAMADO!BB37/'Anexo '!$I$23</f>
        <v>0</v>
      </c>
      <c r="BC37" s="28">
        <f>PROGRAMADO!BC37/'Anexo '!$I$23</f>
        <v>0</v>
      </c>
      <c r="BD37" s="28">
        <f>PROGRAMADO!BD37/'Anexo '!$I$23</f>
        <v>0</v>
      </c>
      <c r="BE37" s="28">
        <f>PROGRAMADO!BE37/'Anexo '!$I$23</f>
        <v>0</v>
      </c>
      <c r="BF37" s="28">
        <f>PROGRAMADO!BF37/'Anexo '!$J$23</f>
        <v>0</v>
      </c>
      <c r="BG37" s="28">
        <f>PROGRAMADO!BG37/'Anexo '!$J$23</f>
        <v>0</v>
      </c>
      <c r="BH37" s="28">
        <f>PROGRAMADO!BH37/'Anexo '!$J$23</f>
        <v>0</v>
      </c>
      <c r="BI37" s="28">
        <f>PROGRAMADO!BI37/'Anexo '!$J$23</f>
        <v>0</v>
      </c>
      <c r="BJ37" s="28">
        <f>PROGRAMADO!BJ37/'Anexo '!$J$23</f>
        <v>0</v>
      </c>
      <c r="BK37" s="28">
        <f>PROGRAMADO!BK37/'Anexo '!$J$23</f>
        <v>0</v>
      </c>
      <c r="BL37" s="28">
        <f>PROGRAMADO!BL37/'Anexo '!$J$23</f>
        <v>0</v>
      </c>
      <c r="BM37" s="28">
        <f>PROGRAMADO!BM37/'Anexo '!$K$23</f>
        <v>0</v>
      </c>
      <c r="BN37" s="28">
        <f>PROGRAMADO!BN37/'Anexo '!$K$23</f>
        <v>0</v>
      </c>
      <c r="BO37" s="28">
        <f>PROGRAMADO!BO37/'Anexo '!$K$23</f>
        <v>0</v>
      </c>
      <c r="BP37" s="28">
        <f>PROGRAMADO!BP37/'Anexo '!$K$23</f>
        <v>0</v>
      </c>
      <c r="BQ37" s="28">
        <f>PROGRAMADO!BQ37/'Anexo '!$K$23</f>
        <v>0</v>
      </c>
      <c r="BR37" s="28">
        <f>PROGRAMADO!BR37/'Anexo '!$K$23</f>
        <v>0</v>
      </c>
      <c r="BS37" s="28">
        <f>PROGRAMADO!BS37/'Anexo '!$K$23</f>
        <v>0</v>
      </c>
      <c r="BT37" s="28">
        <f>PROGRAMADO!BT37/'Anexo '!$L$23</f>
        <v>0</v>
      </c>
      <c r="BU37" s="28">
        <f>PROGRAMADO!BU37/'Anexo '!$L$23</f>
        <v>0</v>
      </c>
      <c r="BV37" s="28">
        <f>PROGRAMADO!BV37/'Anexo '!$L$23</f>
        <v>0</v>
      </c>
      <c r="BW37" s="28">
        <f>PROGRAMADO!BW37/'Anexo '!$L$23</f>
        <v>0</v>
      </c>
      <c r="BX37" s="28">
        <f>PROGRAMADO!BX37/'Anexo '!$L$23</f>
        <v>0</v>
      </c>
      <c r="BY37" s="28">
        <f>PROGRAMADO!BY37/'Anexo '!$L$23</f>
        <v>0</v>
      </c>
      <c r="BZ37" s="28">
        <f>PROGRAMADO!BZ37/'Anexo '!$L$23</f>
        <v>0</v>
      </c>
      <c r="CA37" s="28">
        <f>PROGRAMADO!CA37/'Anexo '!$L$23</f>
        <v>0</v>
      </c>
      <c r="CB37" s="28">
        <f>PROGRAMADO!CB37/'Anexo '!$M$23</f>
        <v>0</v>
      </c>
      <c r="CC37" s="28">
        <f>PROGRAMADO!CC37/'Anexo '!$M$23</f>
        <v>0</v>
      </c>
      <c r="CD37" s="28">
        <f>PROGRAMADO!CD37/'Anexo '!$M$23</f>
        <v>0</v>
      </c>
      <c r="CE37" s="28">
        <f>PROGRAMADO!CE37/'Anexo '!$M$23</f>
        <v>0</v>
      </c>
      <c r="CF37" s="28">
        <f>PROGRAMADO!CF37/'Anexo '!$M$23</f>
        <v>0</v>
      </c>
      <c r="CG37" s="28">
        <f>PROGRAMADO!CG37/'Anexo '!$M$23</f>
        <v>0</v>
      </c>
      <c r="CH37" s="28">
        <f>PROGRAMADO!CH37/'Anexo '!$M$23</f>
        <v>0</v>
      </c>
      <c r="CI37" s="29">
        <f>PROGRAMADO!CI37/'Anexo '!$M$23</f>
        <v>0</v>
      </c>
    </row>
    <row r="38" spans="1:101" x14ac:dyDescent="0.25">
      <c r="A38" s="15" t="s">
        <v>71</v>
      </c>
      <c r="B38" s="27">
        <f>PROGRAMADO!B38/'Anexo '!$B$23</f>
        <v>0</v>
      </c>
      <c r="C38" s="28">
        <f>PROGRAMADO!C38/'Anexo '!$B$23</f>
        <v>0</v>
      </c>
      <c r="D38" s="28">
        <f>PROGRAMADO!D38/'Anexo '!$B$23</f>
        <v>0</v>
      </c>
      <c r="E38" s="28">
        <f>PROGRAMADO!E38/'Anexo '!$B$23</f>
        <v>0</v>
      </c>
      <c r="F38" s="28">
        <f>PROGRAMADO!F38/'Anexo '!$B$23</f>
        <v>0</v>
      </c>
      <c r="G38" s="28">
        <f>PROGRAMADO!G38/'Anexo '!$B$23</f>
        <v>0</v>
      </c>
      <c r="H38" s="28">
        <f>PROGRAMADO!H38/'Anexo '!$B$23</f>
        <v>0</v>
      </c>
      <c r="I38" s="28">
        <f>PROGRAMADO!I38/'Anexo '!$C$23</f>
        <v>0</v>
      </c>
      <c r="J38" s="28">
        <f>PROGRAMADO!J38/'Anexo '!$C$23</f>
        <v>0</v>
      </c>
      <c r="K38" s="28">
        <f>PROGRAMADO!K38/'Anexo '!$C$23</f>
        <v>0</v>
      </c>
      <c r="L38" s="28">
        <f>PROGRAMADO!L38/'Anexo '!$C$23</f>
        <v>0</v>
      </c>
      <c r="M38" s="28">
        <f>PROGRAMADO!M38/'Anexo '!$C$23</f>
        <v>0</v>
      </c>
      <c r="N38" s="28">
        <f>PROGRAMADO!N38/'Anexo '!$C$23</f>
        <v>0</v>
      </c>
      <c r="O38" s="28">
        <f>PROGRAMADO!O38/'Anexo '!$C$23</f>
        <v>0</v>
      </c>
      <c r="P38" s="28">
        <f>PROGRAMADO!P38/'Anexo '!$D$23</f>
        <v>0</v>
      </c>
      <c r="Q38" s="28">
        <f>PROGRAMADO!Q38/'Anexo '!$D$23</f>
        <v>365370.6713182283</v>
      </c>
      <c r="R38" s="28">
        <f>PROGRAMADO!R38/'Anexo '!$D$23</f>
        <v>365370.6713182283</v>
      </c>
      <c r="S38" s="28">
        <f>PROGRAMADO!S38/'Anexo '!$D$23</f>
        <v>0</v>
      </c>
      <c r="T38" s="28">
        <f>PROGRAMADO!T38/'Anexo '!$D$23</f>
        <v>0</v>
      </c>
      <c r="U38" s="28">
        <f>PROGRAMADO!U38/'Anexo '!$D$23</f>
        <v>0</v>
      </c>
      <c r="V38" s="28">
        <f>PROGRAMADO!V38/'Anexo '!$D$23</f>
        <v>365370.6713182283</v>
      </c>
      <c r="W38" s="28">
        <f>PROGRAMADO!W38/'Anexo '!$E$23</f>
        <v>0</v>
      </c>
      <c r="X38" s="28">
        <f>PROGRAMADO!X38/'Anexo '!$E$23</f>
        <v>478088.60177012306</v>
      </c>
      <c r="Y38" s="28">
        <f>PROGRAMADO!Y38/'Anexo '!$E$23</f>
        <v>478088.60177012306</v>
      </c>
      <c r="Z38" s="28">
        <f>PROGRAMADO!Z38/'Anexo '!$E$23</f>
        <v>0</v>
      </c>
      <c r="AA38" s="28">
        <f>PROGRAMADO!AA38/'Anexo '!$E$23</f>
        <v>0</v>
      </c>
      <c r="AB38" s="28">
        <f>PROGRAMADO!AB38/'Anexo '!$E$23</f>
        <v>0</v>
      </c>
      <c r="AC38" s="28">
        <f>PROGRAMADO!AC38/'Anexo '!$E$23</f>
        <v>478088.60177012306</v>
      </c>
      <c r="AD38" s="28">
        <f>PROGRAMADO!AD38/'Anexo '!$F$23</f>
        <v>0</v>
      </c>
      <c r="AE38" s="28">
        <f>PROGRAMADO!AE38/'Anexo '!$F$23</f>
        <v>512236.76721684687</v>
      </c>
      <c r="AF38" s="28">
        <f>PROGRAMADO!AF38/'Anexo '!$F$23</f>
        <v>512236.76721684687</v>
      </c>
      <c r="AG38" s="28">
        <f>PROGRAMADO!AG38/'Anexo '!$F$23</f>
        <v>455321.57085941947</v>
      </c>
      <c r="AH38" s="28">
        <f>PROGRAMADO!AH38/'Anexo '!$F$23</f>
        <v>0</v>
      </c>
      <c r="AI38" s="28">
        <f>PROGRAMADO!AI38/'Anexo '!$F$23</f>
        <v>455321.57085941947</v>
      </c>
      <c r="AJ38" s="28">
        <f>PROGRAMADO!AJ38/'Anexo '!$F$23</f>
        <v>967558.33807626634</v>
      </c>
      <c r="AK38" s="28">
        <f>PROGRAMADO!AK38/'Anexo '!$G$23</f>
        <v>0</v>
      </c>
      <c r="AL38" s="28">
        <f>PROGRAMADO!AL38/'Anexo '!$G$23</f>
        <v>487780.84939154948</v>
      </c>
      <c r="AM38" s="28">
        <f>PROGRAMADO!AM38/'Anexo '!$G$23</f>
        <v>487780.84939154948</v>
      </c>
      <c r="AN38" s="28">
        <f>PROGRAMADO!AN38/'Anexo '!$G$23</f>
        <v>0</v>
      </c>
      <c r="AO38" s="28">
        <f>PROGRAMADO!AO38/'Anexo '!$G$23</f>
        <v>0</v>
      </c>
      <c r="AP38" s="28">
        <f>PROGRAMADO!AP38/'Anexo '!$G$23</f>
        <v>0</v>
      </c>
      <c r="AQ38" s="28">
        <f>PROGRAMADO!AQ38/'Anexo '!$G$23</f>
        <v>487780.84939154948</v>
      </c>
      <c r="AR38" s="28">
        <f>PROGRAMADO!AR38/'Anexo '!$H$23</f>
        <v>0</v>
      </c>
      <c r="AS38" s="28">
        <f>PROGRAMADO!AS38/'Anexo '!$H$23</f>
        <v>472075.5320851336</v>
      </c>
      <c r="AT38" s="28">
        <f>PROGRAMADO!AT38/'Anexo '!$H$23</f>
        <v>472075.5320851336</v>
      </c>
      <c r="AU38" s="28">
        <f>PROGRAMADO!AU38/'Anexo '!$H$23</f>
        <v>0</v>
      </c>
      <c r="AV38" s="28">
        <f>PROGRAMADO!AV38/'Anexo '!$H$23</f>
        <v>0</v>
      </c>
      <c r="AW38" s="28">
        <f>PROGRAMADO!AW38/'Anexo '!$H$23</f>
        <v>0</v>
      </c>
      <c r="AX38" s="28">
        <f>PROGRAMADO!AX38/'Anexo '!$H$23</f>
        <v>472075.5320851336</v>
      </c>
      <c r="AY38" s="28">
        <f>PROGRAMADO!AY38/'Anexo '!$I$23</f>
        <v>0</v>
      </c>
      <c r="AZ38" s="28">
        <f>PROGRAMADO!AZ38/'Anexo '!$I$23</f>
        <v>447329.97753515968</v>
      </c>
      <c r="BA38" s="28">
        <f>PROGRAMADO!BA38/'Anexo '!$I$23</f>
        <v>447329.97753515968</v>
      </c>
      <c r="BB38" s="28">
        <f>PROGRAMADO!BB38/'Anexo '!$I$23</f>
        <v>0</v>
      </c>
      <c r="BC38" s="28">
        <f>PROGRAMADO!BC38/'Anexo '!$I$23</f>
        <v>0</v>
      </c>
      <c r="BD38" s="28">
        <f>PROGRAMADO!BD38/'Anexo '!$I$23</f>
        <v>0</v>
      </c>
      <c r="BE38" s="28">
        <f>PROGRAMADO!BE38/'Anexo '!$I$23</f>
        <v>447329.97753515968</v>
      </c>
      <c r="BF38" s="28">
        <f>PROGRAMADO!BF38/'Anexo '!$J$23</f>
        <v>0</v>
      </c>
      <c r="BG38" s="28">
        <f>PROGRAMADO!BG38/'Anexo '!$J$23</f>
        <v>159202.81508119346</v>
      </c>
      <c r="BH38" s="28">
        <f>PROGRAMADO!BH38/'Anexo '!$J$23</f>
        <v>159202.81508119346</v>
      </c>
      <c r="BI38" s="28">
        <f>PROGRAMADO!BI38/'Anexo '!$J$23</f>
        <v>0</v>
      </c>
      <c r="BJ38" s="28">
        <f>PROGRAMADO!BJ38/'Anexo '!$J$23</f>
        <v>0</v>
      </c>
      <c r="BK38" s="28">
        <f>PROGRAMADO!BK38/'Anexo '!$J$23</f>
        <v>0</v>
      </c>
      <c r="BL38" s="28">
        <f>PROGRAMADO!BL38/'Anexo '!$J$23</f>
        <v>159202.81508119346</v>
      </c>
      <c r="BM38" s="28">
        <f>PROGRAMADO!BM38/'Anexo '!$K$23</f>
        <v>0</v>
      </c>
      <c r="BN38" s="28">
        <f>PROGRAMADO!BN38/'Anexo '!$K$23</f>
        <v>144263.14310814609</v>
      </c>
      <c r="BO38" s="28">
        <f>PROGRAMADO!BO38/'Anexo '!$K$23</f>
        <v>144263.14310814609</v>
      </c>
      <c r="BP38" s="28">
        <f>PROGRAMADO!BP38/'Anexo '!$K$23</f>
        <v>0</v>
      </c>
      <c r="BQ38" s="28">
        <f>PROGRAMADO!BQ38/'Anexo '!$K$23</f>
        <v>0</v>
      </c>
      <c r="BR38" s="28">
        <f>PROGRAMADO!BR38/'Anexo '!$K$23</f>
        <v>0</v>
      </c>
      <c r="BS38" s="28">
        <f>PROGRAMADO!BS38/'Anexo '!$K$23</f>
        <v>144263.14310814609</v>
      </c>
      <c r="BT38" s="28">
        <f>PROGRAMADO!BT38/'Anexo '!$L$23</f>
        <v>0</v>
      </c>
      <c r="BU38" s="28">
        <f>PROGRAMADO!BU38/'Anexo '!$L$23</f>
        <v>144393.90657714245</v>
      </c>
      <c r="BV38" s="28">
        <f>PROGRAMADO!BV38/'Anexo '!$L$23</f>
        <v>0</v>
      </c>
      <c r="BW38" s="28">
        <f>PROGRAMADO!BW38/'Anexo '!$L$23</f>
        <v>144393.90657714245</v>
      </c>
      <c r="BX38" s="28">
        <f>PROGRAMADO!BX38/'Anexo '!$L$23</f>
        <v>0</v>
      </c>
      <c r="BY38" s="28">
        <f>PROGRAMADO!BY38/'Anexo '!$L$23</f>
        <v>0</v>
      </c>
      <c r="BZ38" s="28">
        <f>PROGRAMADO!BZ38/'Anexo '!$L$23</f>
        <v>0</v>
      </c>
      <c r="CA38" s="28">
        <f>PROGRAMADO!CA38/'Anexo '!$L$23</f>
        <v>144393.90657714245</v>
      </c>
      <c r="CB38" s="28">
        <f>PROGRAMADO!CB38/'Anexo '!$M$23</f>
        <v>0</v>
      </c>
      <c r="CC38" s="28">
        <f>PROGRAMADO!CC38/'Anexo '!$M$23</f>
        <v>165839.02208657053</v>
      </c>
      <c r="CD38" s="28">
        <f>PROGRAMADO!CD38/'Anexo '!$M$23</f>
        <v>0</v>
      </c>
      <c r="CE38" s="28">
        <f>PROGRAMADO!CE38/'Anexo '!$M$23</f>
        <v>165839.02208657053</v>
      </c>
      <c r="CF38" s="28">
        <f>PROGRAMADO!CF38/'Anexo '!$M$23</f>
        <v>0</v>
      </c>
      <c r="CG38" s="28">
        <f>PROGRAMADO!CG38/'Anexo '!$M$23</f>
        <v>0</v>
      </c>
      <c r="CH38" s="28">
        <f>PROGRAMADO!CH38/'Anexo '!$M$23</f>
        <v>0</v>
      </c>
      <c r="CI38" s="29">
        <f>PROGRAMADO!CI38/'Anexo '!$M$23</f>
        <v>165839.02208657053</v>
      </c>
    </row>
    <row r="39" spans="1:101" x14ac:dyDescent="0.25">
      <c r="A39" s="15" t="s">
        <v>25</v>
      </c>
      <c r="B39" s="27">
        <f>PROGRAMADO!B39/'Anexo '!$B$23</f>
        <v>0</v>
      </c>
      <c r="C39" s="28">
        <f>PROGRAMADO!C39/'Anexo '!$B$23</f>
        <v>0</v>
      </c>
      <c r="D39" s="28">
        <f>PROGRAMADO!D39/'Anexo '!$B$23</f>
        <v>0</v>
      </c>
      <c r="E39" s="28">
        <f>PROGRAMADO!E39/'Anexo '!$B$23</f>
        <v>0</v>
      </c>
      <c r="F39" s="28">
        <f>PROGRAMADO!F39/'Anexo '!$B$23</f>
        <v>0</v>
      </c>
      <c r="G39" s="28">
        <f>PROGRAMADO!G39/'Anexo '!$B$23</f>
        <v>0</v>
      </c>
      <c r="H39" s="28">
        <f>PROGRAMADO!H39/'Anexo '!$B$23</f>
        <v>0</v>
      </c>
      <c r="I39" s="28">
        <f>PROGRAMADO!I39/'Anexo '!$C$23</f>
        <v>0</v>
      </c>
      <c r="J39" s="28">
        <f>PROGRAMADO!J39/'Anexo '!$C$23</f>
        <v>0</v>
      </c>
      <c r="K39" s="28">
        <f>PROGRAMADO!K39/'Anexo '!$C$23</f>
        <v>0</v>
      </c>
      <c r="L39" s="28">
        <f>PROGRAMADO!L39/'Anexo '!$C$23</f>
        <v>0</v>
      </c>
      <c r="M39" s="28">
        <f>PROGRAMADO!M39/'Anexo '!$C$23</f>
        <v>0</v>
      </c>
      <c r="N39" s="28">
        <f>PROGRAMADO!N39/'Anexo '!$C$23</f>
        <v>0</v>
      </c>
      <c r="O39" s="28">
        <f>PROGRAMADO!O39/'Anexo '!$C$23</f>
        <v>0</v>
      </c>
      <c r="P39" s="28">
        <f>PROGRAMADO!P39/'Anexo '!$D$23</f>
        <v>0</v>
      </c>
      <c r="Q39" s="28">
        <f>PROGRAMADO!Q39/'Anexo '!$D$23</f>
        <v>161954.40883964032</v>
      </c>
      <c r="R39" s="28">
        <f>PROGRAMADO!R39/'Anexo '!$D$23</f>
        <v>161954.40883964032</v>
      </c>
      <c r="S39" s="28">
        <f>PROGRAMADO!S39/'Anexo '!$D$23</f>
        <v>94892.422179415589</v>
      </c>
      <c r="T39" s="28">
        <f>PROGRAMADO!T39/'Anexo '!$D$23</f>
        <v>0</v>
      </c>
      <c r="U39" s="28">
        <f>PROGRAMADO!U39/'Anexo '!$D$23</f>
        <v>94892.422179415589</v>
      </c>
      <c r="V39" s="28">
        <f>PROGRAMADO!V39/'Anexo '!$D$23</f>
        <v>256846.83101905591</v>
      </c>
      <c r="W39" s="28">
        <f>PROGRAMADO!W39/'Anexo '!$E$23</f>
        <v>0</v>
      </c>
      <c r="X39" s="28">
        <f>PROGRAMADO!X39/'Anexo '!$E$23</f>
        <v>139309.99862549527</v>
      </c>
      <c r="Y39" s="28">
        <f>PROGRAMADO!Y39/'Anexo '!$E$23</f>
        <v>139309.99862549527</v>
      </c>
      <c r="Z39" s="28">
        <f>PROGRAMADO!Z39/'Anexo '!$E$23</f>
        <v>59701.314146044118</v>
      </c>
      <c r="AA39" s="28">
        <f>PROGRAMADO!AA39/'Anexo '!$E$23</f>
        <v>0</v>
      </c>
      <c r="AB39" s="28">
        <f>PROGRAMADO!AB39/'Anexo '!$E$23</f>
        <v>59701.314146044118</v>
      </c>
      <c r="AC39" s="28">
        <f>PROGRAMADO!AC39/'Anexo '!$E$23</f>
        <v>199011.31277153938</v>
      </c>
      <c r="AD39" s="28">
        <f>PROGRAMADO!AD39/'Anexo '!$F$23</f>
        <v>0</v>
      </c>
      <c r="AE39" s="28">
        <f>PROGRAMADO!AE39/'Anexo '!$F$23</f>
        <v>239226.92088787706</v>
      </c>
      <c r="AF39" s="28">
        <f>PROGRAMADO!AF39/'Anexo '!$F$23</f>
        <v>239226.92088787706</v>
      </c>
      <c r="AG39" s="28">
        <f>PROGRAMADO!AG39/'Anexo '!$F$23</f>
        <v>66191.974957313607</v>
      </c>
      <c r="AH39" s="28">
        <f>PROGRAMADO!AH39/'Anexo '!$F$23</f>
        <v>0</v>
      </c>
      <c r="AI39" s="28">
        <f>PROGRAMADO!AI39/'Anexo '!$F$23</f>
        <v>66191.974957313607</v>
      </c>
      <c r="AJ39" s="28">
        <f>PROGRAMADO!AJ39/'Anexo '!$F$23</f>
        <v>305418.89584519068</v>
      </c>
      <c r="AK39" s="28">
        <f>PROGRAMADO!AK39/'Anexo '!$G$23</f>
        <v>0</v>
      </c>
      <c r="AL39" s="28">
        <f>PROGRAMADO!AL39/'Anexo '!$G$23</f>
        <v>257473.50733121936</v>
      </c>
      <c r="AM39" s="28">
        <f>PROGRAMADO!AM39/'Anexo '!$G$23</f>
        <v>257473.50733121936</v>
      </c>
      <c r="AN39" s="28">
        <f>PROGRAMADO!AN39/'Anexo '!$G$23</f>
        <v>0</v>
      </c>
      <c r="AO39" s="28">
        <f>PROGRAMADO!AO39/'Anexo '!$G$23</f>
        <v>0</v>
      </c>
      <c r="AP39" s="28">
        <f>PROGRAMADO!AP39/'Anexo '!$G$23</f>
        <v>0</v>
      </c>
      <c r="AQ39" s="28">
        <f>PROGRAMADO!AQ39/'Anexo '!$G$23</f>
        <v>257473.50733121936</v>
      </c>
      <c r="AR39" s="28">
        <f>PROGRAMADO!AR39/'Anexo '!$H$23</f>
        <v>0</v>
      </c>
      <c r="AS39" s="28">
        <f>PROGRAMADO!AS39/'Anexo '!$H$23</f>
        <v>0</v>
      </c>
      <c r="AT39" s="28">
        <f>PROGRAMADO!AT39/'Anexo '!$H$23</f>
        <v>0</v>
      </c>
      <c r="AU39" s="28">
        <f>PROGRAMADO!AU39/'Anexo '!$H$23</f>
        <v>0</v>
      </c>
      <c r="AV39" s="28">
        <f>PROGRAMADO!AV39/'Anexo '!$H$23</f>
        <v>0</v>
      </c>
      <c r="AW39" s="28">
        <f>PROGRAMADO!AW39/'Anexo '!$H$23</f>
        <v>0</v>
      </c>
      <c r="AX39" s="28">
        <f>PROGRAMADO!AX39/'Anexo '!$H$23</f>
        <v>0</v>
      </c>
      <c r="AY39" s="28">
        <f>PROGRAMADO!AY39/'Anexo '!$I$23</f>
        <v>0</v>
      </c>
      <c r="AZ39" s="28">
        <f>PROGRAMADO!AZ39/'Anexo '!$I$23</f>
        <v>0</v>
      </c>
      <c r="BA39" s="28">
        <f>PROGRAMADO!BA39/'Anexo '!$I$23</f>
        <v>0</v>
      </c>
      <c r="BB39" s="28">
        <f>PROGRAMADO!BB39/'Anexo '!$I$23</f>
        <v>0</v>
      </c>
      <c r="BC39" s="28">
        <f>PROGRAMADO!BC39/'Anexo '!$I$23</f>
        <v>0</v>
      </c>
      <c r="BD39" s="28">
        <f>PROGRAMADO!BD39/'Anexo '!$I$23</f>
        <v>0</v>
      </c>
      <c r="BE39" s="28">
        <f>PROGRAMADO!BE39/'Anexo '!$I$23</f>
        <v>0</v>
      </c>
      <c r="BF39" s="28">
        <f>PROGRAMADO!BF39/'Anexo '!$J$23</f>
        <v>0</v>
      </c>
      <c r="BG39" s="28">
        <f>PROGRAMADO!BG39/'Anexo '!$J$23</f>
        <v>0</v>
      </c>
      <c r="BH39" s="28">
        <f>PROGRAMADO!BH39/'Anexo '!$J$23</f>
        <v>0</v>
      </c>
      <c r="BI39" s="28">
        <f>PROGRAMADO!BI39/'Anexo '!$J$23</f>
        <v>0</v>
      </c>
      <c r="BJ39" s="28">
        <f>PROGRAMADO!BJ39/'Anexo '!$J$23</f>
        <v>0</v>
      </c>
      <c r="BK39" s="28">
        <f>PROGRAMADO!BK39/'Anexo '!$J$23</f>
        <v>0</v>
      </c>
      <c r="BL39" s="28">
        <f>PROGRAMADO!BL39/'Anexo '!$J$23</f>
        <v>0</v>
      </c>
      <c r="BM39" s="28">
        <f>PROGRAMADO!BM39/'Anexo '!$K$23</f>
        <v>0</v>
      </c>
      <c r="BN39" s="28">
        <f>PROGRAMADO!BN39/'Anexo '!$K$23</f>
        <v>172090.05409310435</v>
      </c>
      <c r="BO39" s="28">
        <f>PROGRAMADO!BO39/'Anexo '!$K$23</f>
        <v>172090.05409310435</v>
      </c>
      <c r="BP39" s="28">
        <f>PROGRAMADO!BP39/'Anexo '!$K$23</f>
        <v>0</v>
      </c>
      <c r="BQ39" s="28">
        <f>PROGRAMADO!BQ39/'Anexo '!$K$23</f>
        <v>0</v>
      </c>
      <c r="BR39" s="28">
        <f>PROGRAMADO!BR39/'Anexo '!$K$23</f>
        <v>0</v>
      </c>
      <c r="BS39" s="28">
        <f>PROGRAMADO!BS39/'Anexo '!$K$23</f>
        <v>172090.05409310435</v>
      </c>
      <c r="BT39" s="28">
        <f>PROGRAMADO!BT39/'Anexo '!$L$23</f>
        <v>0</v>
      </c>
      <c r="BU39" s="28">
        <f>PROGRAMADO!BU39/'Anexo '!$L$23</f>
        <v>49155.592928096077</v>
      </c>
      <c r="BV39" s="28">
        <f>PROGRAMADO!BV39/'Anexo '!$L$23</f>
        <v>0</v>
      </c>
      <c r="BW39" s="28">
        <f>PROGRAMADO!BW39/'Anexo '!$L$23</f>
        <v>49155.592928096077</v>
      </c>
      <c r="BX39" s="28">
        <f>PROGRAMADO!BX39/'Anexo '!$L$23</f>
        <v>0</v>
      </c>
      <c r="BY39" s="28">
        <f>PROGRAMADO!BY39/'Anexo '!$L$23</f>
        <v>0</v>
      </c>
      <c r="BZ39" s="28">
        <f>PROGRAMADO!BZ39/'Anexo '!$L$23</f>
        <v>0</v>
      </c>
      <c r="CA39" s="28">
        <f>PROGRAMADO!CA39/'Anexo '!$L$23</f>
        <v>49155.592928096077</v>
      </c>
      <c r="CB39" s="28">
        <f>PROGRAMADO!CB39/'Anexo '!$M$23</f>
        <v>0</v>
      </c>
      <c r="CC39" s="28">
        <f>PROGRAMADO!CC39/'Anexo '!$M$23</f>
        <v>46839.411603963097</v>
      </c>
      <c r="CD39" s="28">
        <f>PROGRAMADO!CD39/'Anexo '!$M$23</f>
        <v>0</v>
      </c>
      <c r="CE39" s="28">
        <f>PROGRAMADO!CE39/'Anexo '!$M$23</f>
        <v>46839.411603963097</v>
      </c>
      <c r="CF39" s="28">
        <f>PROGRAMADO!CF39/'Anexo '!$M$23</f>
        <v>0</v>
      </c>
      <c r="CG39" s="28">
        <f>PROGRAMADO!CG39/'Anexo '!$M$23</f>
        <v>0</v>
      </c>
      <c r="CH39" s="28">
        <f>PROGRAMADO!CH39/'Anexo '!$M$23</f>
        <v>0</v>
      </c>
      <c r="CI39" s="29">
        <f>PROGRAMADO!CI39/'Anexo '!$M$23</f>
        <v>46839.411603963097</v>
      </c>
    </row>
    <row r="40" spans="1:101" x14ac:dyDescent="0.25">
      <c r="A40" s="15" t="s">
        <v>72</v>
      </c>
      <c r="B40" s="27">
        <f>PROGRAMADO!B40/'Anexo '!$B$23</f>
        <v>0</v>
      </c>
      <c r="C40" s="28">
        <f>PROGRAMADO!C40/'Anexo '!$B$23</f>
        <v>0</v>
      </c>
      <c r="D40" s="28">
        <f>PROGRAMADO!D40/'Anexo '!$B$23</f>
        <v>0</v>
      </c>
      <c r="E40" s="28">
        <f>PROGRAMADO!E40/'Anexo '!$B$23</f>
        <v>0</v>
      </c>
      <c r="F40" s="28">
        <f>PROGRAMADO!F40/'Anexo '!$B$23</f>
        <v>0</v>
      </c>
      <c r="G40" s="28">
        <f>PROGRAMADO!G40/'Anexo '!$B$23</f>
        <v>0</v>
      </c>
      <c r="H40" s="28">
        <f>PROGRAMADO!H40/'Anexo '!$B$23</f>
        <v>0</v>
      </c>
      <c r="I40" s="28">
        <f>PROGRAMADO!I40/'Anexo '!$C$23</f>
        <v>0</v>
      </c>
      <c r="J40" s="28">
        <f>PROGRAMADO!J40/'Anexo '!$C$23</f>
        <v>0</v>
      </c>
      <c r="K40" s="28">
        <f>PROGRAMADO!K40/'Anexo '!$C$23</f>
        <v>0</v>
      </c>
      <c r="L40" s="28">
        <f>PROGRAMADO!L40/'Anexo '!$C$23</f>
        <v>0</v>
      </c>
      <c r="M40" s="28">
        <f>PROGRAMADO!M40/'Anexo '!$C$23</f>
        <v>0</v>
      </c>
      <c r="N40" s="28">
        <f>PROGRAMADO!N40/'Anexo '!$C$23</f>
        <v>0</v>
      </c>
      <c r="O40" s="28">
        <f>PROGRAMADO!O40/'Anexo '!$C$23</f>
        <v>0</v>
      </c>
      <c r="P40" s="28">
        <f>PROGRAMADO!P40/'Anexo '!$D$23</f>
        <v>0</v>
      </c>
      <c r="Q40" s="28">
        <f>PROGRAMADO!Q40/'Anexo '!$D$23</f>
        <v>0</v>
      </c>
      <c r="R40" s="28">
        <f>PROGRAMADO!R40/'Anexo '!$D$23</f>
        <v>0</v>
      </c>
      <c r="S40" s="28">
        <f>PROGRAMADO!S40/'Anexo '!$D$23</f>
        <v>3392.0425668086814</v>
      </c>
      <c r="T40" s="28">
        <f>PROGRAMADO!T40/'Anexo '!$D$23</f>
        <v>0</v>
      </c>
      <c r="U40" s="28">
        <f>PROGRAMADO!U40/'Anexo '!$D$23</f>
        <v>3392.0425668086814</v>
      </c>
      <c r="V40" s="28">
        <f>PROGRAMADO!V40/'Anexo '!$D$23</f>
        <v>3392.0425668086814</v>
      </c>
      <c r="W40" s="28">
        <f>PROGRAMADO!W40/'Anexo '!$E$23</f>
        <v>0</v>
      </c>
      <c r="X40" s="28">
        <f>PROGRAMADO!X40/'Anexo '!$E$23</f>
        <v>0</v>
      </c>
      <c r="Y40" s="28">
        <f>PROGRAMADO!Y40/'Anexo '!$E$23</f>
        <v>0</v>
      </c>
      <c r="Z40" s="28">
        <f>PROGRAMADO!Z40/'Anexo '!$E$23</f>
        <v>49751.095121703431</v>
      </c>
      <c r="AA40" s="28">
        <f>PROGRAMADO!AA40/'Anexo '!$E$23</f>
        <v>0</v>
      </c>
      <c r="AB40" s="28">
        <f>PROGRAMADO!AB40/'Anexo '!$E$23</f>
        <v>49751.095121703431</v>
      </c>
      <c r="AC40" s="28">
        <f>PROGRAMADO!AC40/'Anexo '!$E$23</f>
        <v>49751.095121703431</v>
      </c>
      <c r="AD40" s="28">
        <f>PROGRAMADO!AD40/'Anexo '!$F$23</f>
        <v>0</v>
      </c>
      <c r="AE40" s="28">
        <f>PROGRAMADO!AE40/'Anexo '!$F$23</f>
        <v>0</v>
      </c>
      <c r="AF40" s="28">
        <f>PROGRAMADO!AF40/'Anexo '!$F$23</f>
        <v>0</v>
      </c>
      <c r="AG40" s="28">
        <f>PROGRAMADO!AG40/'Anexo '!$F$23</f>
        <v>113425.83949914627</v>
      </c>
      <c r="AH40" s="28">
        <f>PROGRAMADO!AH40/'Anexo '!$F$23</f>
        <v>0</v>
      </c>
      <c r="AI40" s="28">
        <f>PROGRAMADO!AI40/'Anexo '!$F$23</f>
        <v>113425.83949914627</v>
      </c>
      <c r="AJ40" s="28">
        <f>PROGRAMADO!AJ40/'Anexo '!$F$23</f>
        <v>113425.83949914627</v>
      </c>
      <c r="AK40" s="28">
        <f>PROGRAMADO!AK40/'Anexo '!$G$23</f>
        <v>0</v>
      </c>
      <c r="AL40" s="28">
        <f>PROGRAMADO!AL40/'Anexo '!$G$23</f>
        <v>0</v>
      </c>
      <c r="AM40" s="28">
        <f>PROGRAMADO!AM40/'Anexo '!$G$23</f>
        <v>0</v>
      </c>
      <c r="AN40" s="28">
        <f>PROGRAMADO!AN40/'Anexo '!$G$23</f>
        <v>175208.39092609155</v>
      </c>
      <c r="AO40" s="28">
        <f>PROGRAMADO!AO40/'Anexo '!$G$23</f>
        <v>0</v>
      </c>
      <c r="AP40" s="28">
        <f>PROGRAMADO!AP40/'Anexo '!$G$23</f>
        <v>175208.39092609155</v>
      </c>
      <c r="AQ40" s="28">
        <f>PROGRAMADO!AQ40/'Anexo '!$G$23</f>
        <v>175208.39092609155</v>
      </c>
      <c r="AR40" s="28">
        <f>PROGRAMADO!AR40/'Anexo '!$H$23</f>
        <v>0</v>
      </c>
      <c r="AS40" s="28">
        <f>PROGRAMADO!AS40/'Anexo '!$H$23</f>
        <v>0</v>
      </c>
      <c r="AT40" s="28">
        <f>PROGRAMADO!AT40/'Anexo '!$H$23</f>
        <v>0</v>
      </c>
      <c r="AU40" s="28">
        <f>PROGRAMADO!AU40/'Anexo '!$H$23</f>
        <v>0</v>
      </c>
      <c r="AV40" s="28">
        <f>PROGRAMADO!AV40/'Anexo '!$H$23</f>
        <v>0</v>
      </c>
      <c r="AW40" s="28">
        <f>PROGRAMADO!AW40/'Anexo '!$H$23</f>
        <v>0</v>
      </c>
      <c r="AX40" s="28">
        <f>PROGRAMADO!AX40/'Anexo '!$H$23</f>
        <v>0</v>
      </c>
      <c r="AY40" s="28">
        <f>PROGRAMADO!AY40/'Anexo '!$I$23</f>
        <v>0</v>
      </c>
      <c r="AZ40" s="28">
        <f>PROGRAMADO!AZ40/'Anexo '!$I$23</f>
        <v>0</v>
      </c>
      <c r="BA40" s="28">
        <f>PROGRAMADO!BA40/'Anexo '!$I$23</f>
        <v>0</v>
      </c>
      <c r="BB40" s="28">
        <f>PROGRAMADO!BB40/'Anexo '!$I$23</f>
        <v>0</v>
      </c>
      <c r="BC40" s="28">
        <f>PROGRAMADO!BC40/'Anexo '!$I$23</f>
        <v>0</v>
      </c>
      <c r="BD40" s="28">
        <f>PROGRAMADO!BD40/'Anexo '!$I$23</f>
        <v>0</v>
      </c>
      <c r="BE40" s="28">
        <f>PROGRAMADO!BE40/'Anexo '!$I$23</f>
        <v>0</v>
      </c>
      <c r="BF40" s="28">
        <f>PROGRAMADO!BF40/'Anexo '!$J$23</f>
        <v>0</v>
      </c>
      <c r="BG40" s="28">
        <f>PROGRAMADO!BG40/'Anexo '!$J$23</f>
        <v>0</v>
      </c>
      <c r="BH40" s="28">
        <f>PROGRAMADO!BH40/'Anexo '!$J$23</f>
        <v>0</v>
      </c>
      <c r="BI40" s="28">
        <f>PROGRAMADO!BI40/'Anexo '!$J$23</f>
        <v>0</v>
      </c>
      <c r="BJ40" s="28">
        <f>PROGRAMADO!BJ40/'Anexo '!$J$23</f>
        <v>0</v>
      </c>
      <c r="BK40" s="28">
        <f>PROGRAMADO!BK40/'Anexo '!$J$23</f>
        <v>0</v>
      </c>
      <c r="BL40" s="28">
        <f>PROGRAMADO!BL40/'Anexo '!$J$23</f>
        <v>0</v>
      </c>
      <c r="BM40" s="28">
        <f>PROGRAMADO!BM40/'Anexo '!$K$23</f>
        <v>0</v>
      </c>
      <c r="BN40" s="28">
        <f>PROGRAMADO!BN40/'Anexo '!$K$23</f>
        <v>0</v>
      </c>
      <c r="BO40" s="28">
        <f>PROGRAMADO!BO40/'Anexo '!$K$23</f>
        <v>0</v>
      </c>
      <c r="BP40" s="28">
        <f>PROGRAMADO!BP40/'Anexo '!$K$23</f>
        <v>0</v>
      </c>
      <c r="BQ40" s="28">
        <f>PROGRAMADO!BQ40/'Anexo '!$K$23</f>
        <v>0</v>
      </c>
      <c r="BR40" s="28">
        <f>PROGRAMADO!BR40/'Anexo '!$K$23</f>
        <v>0</v>
      </c>
      <c r="BS40" s="28">
        <f>PROGRAMADO!BS40/'Anexo '!$K$23</f>
        <v>0</v>
      </c>
      <c r="BT40" s="28">
        <f>PROGRAMADO!BT40/'Anexo '!$L$23</f>
        <v>0</v>
      </c>
      <c r="BU40" s="28">
        <f>PROGRAMADO!BU40/'Anexo '!$L$23</f>
        <v>0</v>
      </c>
      <c r="BV40" s="28">
        <f>PROGRAMADO!BV40/'Anexo '!$L$23</f>
        <v>0</v>
      </c>
      <c r="BW40" s="28">
        <f>PROGRAMADO!BW40/'Anexo '!$L$23</f>
        <v>0</v>
      </c>
      <c r="BX40" s="28">
        <f>PROGRAMADO!BX40/'Anexo '!$L$23</f>
        <v>0</v>
      </c>
      <c r="BY40" s="28">
        <f>PROGRAMADO!BY40/'Anexo '!$L$23</f>
        <v>0</v>
      </c>
      <c r="BZ40" s="28">
        <f>PROGRAMADO!BZ40/'Anexo '!$L$23</f>
        <v>0</v>
      </c>
      <c r="CA40" s="28">
        <f>PROGRAMADO!CA40/'Anexo '!$L$23</f>
        <v>0</v>
      </c>
      <c r="CB40" s="28">
        <f>PROGRAMADO!CB40/'Anexo '!$M$23</f>
        <v>0</v>
      </c>
      <c r="CC40" s="28">
        <f>PROGRAMADO!CC40/'Anexo '!$M$23</f>
        <v>0</v>
      </c>
      <c r="CD40" s="28">
        <f>PROGRAMADO!CD40/'Anexo '!$M$23</f>
        <v>0</v>
      </c>
      <c r="CE40" s="28">
        <f>PROGRAMADO!CE40/'Anexo '!$M$23</f>
        <v>0</v>
      </c>
      <c r="CF40" s="28">
        <f>PROGRAMADO!CF40/'Anexo '!$M$23</f>
        <v>0</v>
      </c>
      <c r="CG40" s="28">
        <f>PROGRAMADO!CG40/'Anexo '!$M$23</f>
        <v>0</v>
      </c>
      <c r="CH40" s="28">
        <f>PROGRAMADO!CH40/'Anexo '!$M$23</f>
        <v>0</v>
      </c>
      <c r="CI40" s="29">
        <f>PROGRAMADO!CI40/'Anexo '!$M$23</f>
        <v>0</v>
      </c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 t="s">
        <v>45</v>
      </c>
      <c r="CW40" s="3" t="s">
        <v>45</v>
      </c>
    </row>
    <row r="41" spans="1:101" x14ac:dyDescent="0.25">
      <c r="A41" s="15" t="s">
        <v>37</v>
      </c>
      <c r="B41" s="27">
        <f>PROGRAMADO!B41/'Anexo '!$B$23</f>
        <v>0</v>
      </c>
      <c r="C41" s="28">
        <f>PROGRAMADO!C41/'Anexo '!$B$23</f>
        <v>445151.10902163311</v>
      </c>
      <c r="D41" s="28">
        <f>PROGRAMADO!D41/'Anexo '!$B$23</f>
        <v>445151.10902163311</v>
      </c>
      <c r="E41" s="28">
        <f>PROGRAMADO!E41/'Anexo '!$B$23</f>
        <v>0</v>
      </c>
      <c r="F41" s="28">
        <f>PROGRAMADO!F41/'Anexo '!$B$23</f>
        <v>0</v>
      </c>
      <c r="G41" s="28">
        <f>PROGRAMADO!G41/'Anexo '!$B$23</f>
        <v>0</v>
      </c>
      <c r="H41" s="28">
        <f>PROGRAMADO!H41/'Anexo '!$B$23</f>
        <v>445151.10902163311</v>
      </c>
      <c r="I41" s="28">
        <f>PROGRAMADO!I41/'Anexo '!$C$23</f>
        <v>0</v>
      </c>
      <c r="J41" s="28">
        <f>PROGRAMADO!J41/'Anexo '!$C$23</f>
        <v>0</v>
      </c>
      <c r="K41" s="28">
        <f>PROGRAMADO!K41/'Anexo '!$C$23</f>
        <v>0</v>
      </c>
      <c r="L41" s="28">
        <f>PROGRAMADO!L41/'Anexo '!$C$23</f>
        <v>0</v>
      </c>
      <c r="M41" s="28">
        <f>PROGRAMADO!M41/'Anexo '!$C$23</f>
        <v>0</v>
      </c>
      <c r="N41" s="28">
        <f>PROGRAMADO!N41/'Anexo '!$C$23</f>
        <v>0</v>
      </c>
      <c r="O41" s="28">
        <f>PROGRAMADO!O41/'Anexo '!$C$23</f>
        <v>0</v>
      </c>
      <c r="P41" s="28">
        <f>PROGRAMADO!P41/'Anexo '!$D$23</f>
        <v>0</v>
      </c>
      <c r="Q41" s="28">
        <f>PROGRAMADO!Q41/'Anexo '!$D$23</f>
        <v>0</v>
      </c>
      <c r="R41" s="28">
        <f>PROGRAMADO!R41/'Anexo '!$D$23</f>
        <v>0</v>
      </c>
      <c r="S41" s="28">
        <f>PROGRAMADO!S41/'Anexo '!$D$23</f>
        <v>0</v>
      </c>
      <c r="T41" s="28">
        <f>PROGRAMADO!T41/'Anexo '!$D$23</f>
        <v>0</v>
      </c>
      <c r="U41" s="28">
        <f>PROGRAMADO!U41/'Anexo '!$D$23</f>
        <v>0</v>
      </c>
      <c r="V41" s="28">
        <f>PROGRAMADO!V41/'Anexo '!$D$23</f>
        <v>0</v>
      </c>
      <c r="W41" s="28">
        <f>PROGRAMADO!W41/'Anexo '!$E$23</f>
        <v>0</v>
      </c>
      <c r="X41" s="28">
        <f>PROGRAMADO!X41/'Anexo '!$E$23</f>
        <v>418327.52654885768</v>
      </c>
      <c r="Y41" s="28">
        <f>PROGRAMADO!Y41/'Anexo '!$E$23</f>
        <v>418327.52654885768</v>
      </c>
      <c r="Z41" s="28">
        <f>PROGRAMADO!Z41/'Anexo '!$E$23</f>
        <v>0</v>
      </c>
      <c r="AA41" s="28">
        <f>PROGRAMADO!AA41/'Anexo '!$E$23</f>
        <v>0</v>
      </c>
      <c r="AB41" s="28">
        <f>PROGRAMADO!AB41/'Anexo '!$E$23</f>
        <v>0</v>
      </c>
      <c r="AC41" s="28">
        <f>PROGRAMADO!AC41/'Anexo '!$E$23</f>
        <v>418327.52654885768</v>
      </c>
      <c r="AD41" s="28">
        <f>PROGRAMADO!AD41/'Anexo '!$F$23</f>
        <v>0</v>
      </c>
      <c r="AE41" s="28">
        <f>PROGRAMADO!AE41/'Anexo '!$F$23</f>
        <v>0</v>
      </c>
      <c r="AF41" s="28">
        <f>PROGRAMADO!AF41/'Anexo '!$F$23</f>
        <v>0</v>
      </c>
      <c r="AG41" s="28">
        <f>PROGRAMADO!AG41/'Anexo '!$F$23</f>
        <v>0</v>
      </c>
      <c r="AH41" s="28">
        <f>PROGRAMADO!AH41/'Anexo '!$F$23</f>
        <v>0</v>
      </c>
      <c r="AI41" s="28">
        <f>PROGRAMADO!AI41/'Anexo '!$F$23</f>
        <v>0</v>
      </c>
      <c r="AJ41" s="28">
        <f>PROGRAMADO!AJ41/'Anexo '!$F$23</f>
        <v>0</v>
      </c>
      <c r="AK41" s="28">
        <f>PROGRAMADO!AK41/'Anexo '!$G$23</f>
        <v>0</v>
      </c>
      <c r="AL41" s="28">
        <f>PROGRAMADO!AL41/'Anexo '!$G$23</f>
        <v>0</v>
      </c>
      <c r="AM41" s="28">
        <f>PROGRAMADO!AM41/'Anexo '!$G$23</f>
        <v>0</v>
      </c>
      <c r="AN41" s="28">
        <f>PROGRAMADO!AN41/'Anexo '!$G$23</f>
        <v>0</v>
      </c>
      <c r="AO41" s="28">
        <f>PROGRAMADO!AO41/'Anexo '!$G$23</f>
        <v>0</v>
      </c>
      <c r="AP41" s="28">
        <f>PROGRAMADO!AP41/'Anexo '!$G$23</f>
        <v>0</v>
      </c>
      <c r="AQ41" s="28">
        <f>PROGRAMADO!AQ41/'Anexo '!$G$23</f>
        <v>0</v>
      </c>
      <c r="AR41" s="28">
        <f>PROGRAMADO!AR41/'Anexo '!$H$23</f>
        <v>0</v>
      </c>
      <c r="AS41" s="28">
        <f>PROGRAMADO!AS41/'Anexo '!$H$23</f>
        <v>0</v>
      </c>
      <c r="AT41" s="28">
        <f>PROGRAMADO!AT41/'Anexo '!$H$23</f>
        <v>0</v>
      </c>
      <c r="AU41" s="28">
        <f>PROGRAMADO!AU41/'Anexo '!$H$23</f>
        <v>0</v>
      </c>
      <c r="AV41" s="28">
        <f>PROGRAMADO!AV41/'Anexo '!$H$23</f>
        <v>0</v>
      </c>
      <c r="AW41" s="28">
        <f>PROGRAMADO!AW41/'Anexo '!$H$23</f>
        <v>0</v>
      </c>
      <c r="AX41" s="28">
        <f>PROGRAMADO!AX41/'Anexo '!$H$23</f>
        <v>0</v>
      </c>
      <c r="AY41" s="28">
        <f>PROGRAMADO!AY41/'Anexo '!$I$23</f>
        <v>0</v>
      </c>
      <c r="AZ41" s="28">
        <f>PROGRAMADO!AZ41/'Anexo '!$I$23</f>
        <v>0</v>
      </c>
      <c r="BA41" s="28">
        <f>PROGRAMADO!BA41/'Anexo '!$I$23</f>
        <v>0</v>
      </c>
      <c r="BB41" s="28">
        <f>PROGRAMADO!BB41/'Anexo '!$I$23</f>
        <v>0</v>
      </c>
      <c r="BC41" s="28">
        <f>PROGRAMADO!BC41/'Anexo '!$I$23</f>
        <v>0</v>
      </c>
      <c r="BD41" s="28">
        <f>PROGRAMADO!BD41/'Anexo '!$I$23</f>
        <v>0</v>
      </c>
      <c r="BE41" s="28">
        <f>PROGRAMADO!BE41/'Anexo '!$I$23</f>
        <v>0</v>
      </c>
      <c r="BF41" s="28">
        <f>PROGRAMADO!BF41/'Anexo '!$J$23</f>
        <v>0</v>
      </c>
      <c r="BG41" s="28">
        <f>PROGRAMADO!BG41/'Anexo '!$J$23</f>
        <v>0</v>
      </c>
      <c r="BH41" s="28">
        <f>PROGRAMADO!BH41/'Anexo '!$J$23</f>
        <v>0</v>
      </c>
      <c r="BI41" s="28">
        <f>PROGRAMADO!BI41/'Anexo '!$J$23</f>
        <v>0</v>
      </c>
      <c r="BJ41" s="28">
        <f>PROGRAMADO!BJ41/'Anexo '!$J$23</f>
        <v>0</v>
      </c>
      <c r="BK41" s="28">
        <f>PROGRAMADO!BK41/'Anexo '!$J$23</f>
        <v>0</v>
      </c>
      <c r="BL41" s="28">
        <f>PROGRAMADO!BL41/'Anexo '!$J$23</f>
        <v>0</v>
      </c>
      <c r="BM41" s="28">
        <f>PROGRAMADO!BM41/'Anexo '!$K$23</f>
        <v>0</v>
      </c>
      <c r="BN41" s="28">
        <f>PROGRAMADO!BN41/'Anexo '!$K$23</f>
        <v>0</v>
      </c>
      <c r="BO41" s="28">
        <f>PROGRAMADO!BO41/'Anexo '!$K$23</f>
        <v>0</v>
      </c>
      <c r="BP41" s="28">
        <f>PROGRAMADO!BP41/'Anexo '!$K$23</f>
        <v>0</v>
      </c>
      <c r="BQ41" s="28">
        <f>PROGRAMADO!BQ41/'Anexo '!$K$23</f>
        <v>0</v>
      </c>
      <c r="BR41" s="28">
        <f>PROGRAMADO!BR41/'Anexo '!$K$23</f>
        <v>0</v>
      </c>
      <c r="BS41" s="28">
        <f>PROGRAMADO!BS41/'Anexo '!$K$23</f>
        <v>0</v>
      </c>
      <c r="BT41" s="28">
        <f>PROGRAMADO!BT41/'Anexo '!$L$23</f>
        <v>0</v>
      </c>
      <c r="BU41" s="28">
        <f>PROGRAMADO!BU41/'Anexo '!$L$23</f>
        <v>0</v>
      </c>
      <c r="BV41" s="28">
        <f>PROGRAMADO!BV41/'Anexo '!$L$23</f>
        <v>0</v>
      </c>
      <c r="BW41" s="28">
        <f>PROGRAMADO!BW41/'Anexo '!$L$23</f>
        <v>0</v>
      </c>
      <c r="BX41" s="28">
        <f>PROGRAMADO!BX41/'Anexo '!$L$23</f>
        <v>0</v>
      </c>
      <c r="BY41" s="28">
        <f>PROGRAMADO!BY41/'Anexo '!$L$23</f>
        <v>0</v>
      </c>
      <c r="BZ41" s="28">
        <f>PROGRAMADO!BZ41/'Anexo '!$L$23</f>
        <v>0</v>
      </c>
      <c r="CA41" s="28">
        <f>PROGRAMADO!CA41/'Anexo '!$L$23</f>
        <v>0</v>
      </c>
      <c r="CB41" s="28">
        <f>PROGRAMADO!CB41/'Anexo '!$M$23</f>
        <v>0</v>
      </c>
      <c r="CC41" s="28">
        <f>PROGRAMADO!CC41/'Anexo '!$M$23</f>
        <v>0</v>
      </c>
      <c r="CD41" s="28">
        <f>PROGRAMADO!CD41/'Anexo '!$M$23</f>
        <v>0</v>
      </c>
      <c r="CE41" s="28">
        <f>PROGRAMADO!CE41/'Anexo '!$M$23</f>
        <v>0</v>
      </c>
      <c r="CF41" s="28">
        <f>PROGRAMADO!CF41/'Anexo '!$M$23</f>
        <v>0</v>
      </c>
      <c r="CG41" s="28">
        <f>PROGRAMADO!CG41/'Anexo '!$M$23</f>
        <v>0</v>
      </c>
      <c r="CH41" s="28">
        <f>PROGRAMADO!CH41/'Anexo '!$M$23</f>
        <v>0</v>
      </c>
      <c r="CI41" s="29">
        <f>PROGRAMADO!CI41/'Anexo '!$M$23</f>
        <v>0</v>
      </c>
    </row>
    <row r="42" spans="1:101" x14ac:dyDescent="0.25">
      <c r="A42" s="15" t="s">
        <v>36</v>
      </c>
      <c r="B42" s="27">
        <f>PROGRAMADO!B42/'Anexo '!$B$23</f>
        <v>0</v>
      </c>
      <c r="C42" s="28">
        <f>PROGRAMADO!C42/'Anexo '!$B$23</f>
        <v>1341888.6908562728</v>
      </c>
      <c r="D42" s="28">
        <f>PROGRAMADO!D42/'Anexo '!$B$23</f>
        <v>1341888.6908562728</v>
      </c>
      <c r="E42" s="28">
        <f>PROGRAMADO!E42/'Anexo '!$B$23</f>
        <v>632274.03815792245</v>
      </c>
      <c r="F42" s="28">
        <f>PROGRAMADO!F42/'Anexo '!$B$23</f>
        <v>878177.48696610134</v>
      </c>
      <c r="G42" s="28">
        <f>PROGRAMADO!G42/'Anexo '!$B$23</f>
        <v>1510451.5251240237</v>
      </c>
      <c r="H42" s="28">
        <f>PROGRAMADO!H42/'Anexo '!$B$23</f>
        <v>2852340.215980296</v>
      </c>
      <c r="I42" s="28">
        <f>PROGRAMADO!I42/'Anexo '!$C$23</f>
        <v>0</v>
      </c>
      <c r="J42" s="28">
        <f>PROGRAMADO!J42/'Anexo '!$C$23</f>
        <v>850150.92940740346</v>
      </c>
      <c r="K42" s="28">
        <f>PROGRAMADO!K42/'Anexo '!$C$23</f>
        <v>850150.92940740346</v>
      </c>
      <c r="L42" s="28">
        <f>PROGRAMADO!L42/'Anexo '!$C$23</f>
        <v>168352.48636339564</v>
      </c>
      <c r="M42" s="28">
        <f>PROGRAMADO!M42/'Anexo '!$C$23</f>
        <v>773539.69178626279</v>
      </c>
      <c r="N42" s="28">
        <f>PROGRAMADO!N42/'Anexo '!$C$23</f>
        <v>941892.17814965837</v>
      </c>
      <c r="O42" s="28">
        <f>PROGRAMADO!O42/'Anexo '!$C$23</f>
        <v>1792043.1075570618</v>
      </c>
      <c r="P42" s="28">
        <f>PROGRAMADO!P42/'Anexo '!$D$23</f>
        <v>0</v>
      </c>
      <c r="Q42" s="28">
        <f>PROGRAMADO!Q42/'Anexo '!$D$23</f>
        <v>0</v>
      </c>
      <c r="R42" s="28">
        <f>PROGRAMADO!R42/'Anexo '!$D$23</f>
        <v>0</v>
      </c>
      <c r="S42" s="28">
        <f>PROGRAMADO!S42/'Anexo '!$D$23</f>
        <v>0</v>
      </c>
      <c r="T42" s="28">
        <f>PROGRAMADO!T42/'Anexo '!$D$23</f>
        <v>0</v>
      </c>
      <c r="U42" s="28">
        <f>PROGRAMADO!U42/'Anexo '!$D$23</f>
        <v>0</v>
      </c>
      <c r="V42" s="28">
        <f>PROGRAMADO!V42/'Anexo '!$D$23</f>
        <v>0</v>
      </c>
      <c r="W42" s="28">
        <f>PROGRAMADO!W42/'Anexo '!$E$23</f>
        <v>0</v>
      </c>
      <c r="X42" s="28">
        <f>PROGRAMADO!X42/'Anexo '!$E$23</f>
        <v>0</v>
      </c>
      <c r="Y42" s="28">
        <f>PROGRAMADO!Y42/'Anexo '!$E$23</f>
        <v>0</v>
      </c>
      <c r="Z42" s="28">
        <f>PROGRAMADO!Z42/'Anexo '!$E$23</f>
        <v>0</v>
      </c>
      <c r="AA42" s="28">
        <f>PROGRAMADO!AA42/'Anexo '!$E$23</f>
        <v>0</v>
      </c>
      <c r="AB42" s="28">
        <f>PROGRAMADO!AB42/'Anexo '!$E$23</f>
        <v>0</v>
      </c>
      <c r="AC42" s="28">
        <f>PROGRAMADO!AC42/'Anexo '!$E$23</f>
        <v>0</v>
      </c>
      <c r="AD42" s="28">
        <f>PROGRAMADO!AD42/'Anexo '!$F$23</f>
        <v>0</v>
      </c>
      <c r="AE42" s="28">
        <f>PROGRAMADO!AE42/'Anexo '!$F$23</f>
        <v>0</v>
      </c>
      <c r="AF42" s="28">
        <f>PROGRAMADO!AF42/'Anexo '!$F$23</f>
        <v>0</v>
      </c>
      <c r="AG42" s="28">
        <f>PROGRAMADO!AG42/'Anexo '!$F$23</f>
        <v>0</v>
      </c>
      <c r="AH42" s="28">
        <f>PROGRAMADO!AH42/'Anexo '!$F$23</f>
        <v>0</v>
      </c>
      <c r="AI42" s="28">
        <f>PROGRAMADO!AI42/'Anexo '!$F$23</f>
        <v>0</v>
      </c>
      <c r="AJ42" s="28">
        <f>PROGRAMADO!AJ42/'Anexo '!$F$23</f>
        <v>0</v>
      </c>
      <c r="AK42" s="28">
        <f>PROGRAMADO!AK42/'Anexo '!$G$23</f>
        <v>0</v>
      </c>
      <c r="AL42" s="28">
        <f>PROGRAMADO!AL42/'Anexo '!$G$23</f>
        <v>0</v>
      </c>
      <c r="AM42" s="28">
        <f>PROGRAMADO!AM42/'Anexo '!$G$23</f>
        <v>0</v>
      </c>
      <c r="AN42" s="28">
        <f>PROGRAMADO!AN42/'Anexo '!$G$23</f>
        <v>0</v>
      </c>
      <c r="AO42" s="28">
        <f>PROGRAMADO!AO42/'Anexo '!$G$23</f>
        <v>0</v>
      </c>
      <c r="AP42" s="28">
        <f>PROGRAMADO!AP42/'Anexo '!$G$23</f>
        <v>0</v>
      </c>
      <c r="AQ42" s="28">
        <f>PROGRAMADO!AQ42/'Anexo '!$G$23</f>
        <v>0</v>
      </c>
      <c r="AR42" s="28">
        <f>PROGRAMADO!AR42/'Anexo '!$H$23</f>
        <v>0</v>
      </c>
      <c r="AS42" s="28">
        <f>PROGRAMADO!AS42/'Anexo '!$H$23</f>
        <v>0</v>
      </c>
      <c r="AT42" s="28">
        <f>PROGRAMADO!AT42/'Anexo '!$H$23</f>
        <v>0</v>
      </c>
      <c r="AU42" s="28">
        <f>PROGRAMADO!AU42/'Anexo '!$H$23</f>
        <v>0</v>
      </c>
      <c r="AV42" s="28">
        <f>PROGRAMADO!AV42/'Anexo '!$H$23</f>
        <v>0</v>
      </c>
      <c r="AW42" s="28">
        <f>PROGRAMADO!AW42/'Anexo '!$H$23</f>
        <v>0</v>
      </c>
      <c r="AX42" s="28">
        <f>PROGRAMADO!AX42/'Anexo '!$H$23</f>
        <v>0</v>
      </c>
      <c r="AY42" s="28">
        <f>PROGRAMADO!AY42/'Anexo '!$I$23</f>
        <v>0</v>
      </c>
      <c r="AZ42" s="28">
        <f>PROGRAMADO!AZ42/'Anexo '!$I$23</f>
        <v>0</v>
      </c>
      <c r="BA42" s="28">
        <f>PROGRAMADO!BA42/'Anexo '!$I$23</f>
        <v>0</v>
      </c>
      <c r="BB42" s="28">
        <f>PROGRAMADO!BB42/'Anexo '!$I$23</f>
        <v>0</v>
      </c>
      <c r="BC42" s="28">
        <f>PROGRAMADO!BC42/'Anexo '!$I$23</f>
        <v>0</v>
      </c>
      <c r="BD42" s="28">
        <f>PROGRAMADO!BD42/'Anexo '!$I$23</f>
        <v>0</v>
      </c>
      <c r="BE42" s="28">
        <f>PROGRAMADO!BE42/'Anexo '!$I$23</f>
        <v>0</v>
      </c>
      <c r="BF42" s="28">
        <f>PROGRAMADO!BF42/'Anexo '!$J$23</f>
        <v>0</v>
      </c>
      <c r="BG42" s="28">
        <f>PROGRAMADO!BG42/'Anexo '!$J$23</f>
        <v>1574369.1352475137</v>
      </c>
      <c r="BH42" s="28">
        <f>PROGRAMADO!BH42/'Anexo '!$J$23</f>
        <v>1574369.1352475137</v>
      </c>
      <c r="BI42" s="28">
        <f>PROGRAMADO!BI42/'Anexo '!$J$23</f>
        <v>46824.371148695471</v>
      </c>
      <c r="BJ42" s="28">
        <f>PROGRAMADO!BJ42/'Anexo '!$J$23</f>
        <v>7385810.8576351814</v>
      </c>
      <c r="BK42" s="28">
        <f>PROGRAMADO!BK42/'Anexo '!$J$23</f>
        <v>7432635.2287838776</v>
      </c>
      <c r="BL42" s="28">
        <f>PROGRAMADO!BL42/'Anexo '!$J$23</f>
        <v>9007004.3640313912</v>
      </c>
      <c r="BM42" s="28">
        <f>PROGRAMADO!BM42/'Anexo '!$K$23</f>
        <v>0</v>
      </c>
      <c r="BN42" s="28">
        <f>PROGRAMADO!BN42/'Anexo '!$K$23</f>
        <v>1574184.7906066189</v>
      </c>
      <c r="BO42" s="28">
        <f>PROGRAMADO!BO42/'Anexo '!$K$23</f>
        <v>1574184.7906066189</v>
      </c>
      <c r="BP42" s="28">
        <f>PROGRAMADO!BP42/'Anexo '!$K$23</f>
        <v>2330652.1050824332</v>
      </c>
      <c r="BQ42" s="28">
        <f>PROGRAMADO!BQ42/'Anexo '!$K$23</f>
        <v>3704728.0851576193</v>
      </c>
      <c r="BR42" s="28">
        <f>PROGRAMADO!BR42/'Anexo '!$K$23</f>
        <v>6035380.1902400525</v>
      </c>
      <c r="BS42" s="28">
        <f>PROGRAMADO!BS42/'Anexo '!$K$23</f>
        <v>7609564.9808466714</v>
      </c>
      <c r="BT42" s="28">
        <f>PROGRAMADO!BT42/'Anexo '!$L$23</f>
        <v>0</v>
      </c>
      <c r="BU42" s="28">
        <f>PROGRAMADO!BU42/'Anexo '!$L$23</f>
        <v>1136677.3263344758</v>
      </c>
      <c r="BV42" s="28">
        <f>PROGRAMADO!BV42/'Anexo '!$L$23</f>
        <v>0</v>
      </c>
      <c r="BW42" s="28">
        <f>PROGRAMADO!BW42/'Anexo '!$L$23</f>
        <v>1136677.3263344758</v>
      </c>
      <c r="BX42" s="28">
        <f>PROGRAMADO!BX42/'Anexo '!$L$23</f>
        <v>2667262.8011568501</v>
      </c>
      <c r="BY42" s="28">
        <f>PROGRAMADO!BY42/'Anexo '!$L$23</f>
        <v>956219.86775216914</v>
      </c>
      <c r="BZ42" s="28">
        <f>PROGRAMADO!BZ42/'Anexo '!$L$23</f>
        <v>3623482.6689090189</v>
      </c>
      <c r="CA42" s="28">
        <f>PROGRAMADO!CA42/'Anexo '!$L$23</f>
        <v>4760159.9952434944</v>
      </c>
      <c r="CB42" s="28">
        <f>PROGRAMADO!CB42/'Anexo '!$M$23</f>
        <v>0</v>
      </c>
      <c r="CC42" s="28">
        <f>PROGRAMADO!CC42/'Anexo '!$M$23</f>
        <v>2054988.1749044431</v>
      </c>
      <c r="CD42" s="28">
        <f>PROGRAMADO!CD42/'Anexo '!$M$23</f>
        <v>0</v>
      </c>
      <c r="CE42" s="28">
        <f>PROGRAMADO!CE42/'Anexo '!$M$23</f>
        <v>2054988.1749044431</v>
      </c>
      <c r="CF42" s="28">
        <f>PROGRAMADO!CF42/'Anexo '!$M$23</f>
        <v>493436.46606799559</v>
      </c>
      <c r="CG42" s="28">
        <f>PROGRAMADO!CG42/'Anexo '!$M$23</f>
        <v>5450957.0611359654</v>
      </c>
      <c r="CH42" s="28">
        <f>PROGRAMADO!CH42/'Anexo '!$M$23</f>
        <v>5944393.5272039594</v>
      </c>
      <c r="CI42" s="29">
        <f>PROGRAMADO!CI42/'Anexo '!$M$23</f>
        <v>7999381.7021084037</v>
      </c>
    </row>
    <row r="43" spans="1:101" x14ac:dyDescent="0.25">
      <c r="A43" s="15" t="s">
        <v>73</v>
      </c>
      <c r="B43" s="27">
        <f>PROGRAMADO!B43/'Anexo '!$B$23</f>
        <v>0</v>
      </c>
      <c r="C43" s="28">
        <f>PROGRAMADO!C43/'Anexo '!$B$23</f>
        <v>0</v>
      </c>
      <c r="D43" s="28">
        <f>PROGRAMADO!D43/'Anexo '!$B$23</f>
        <v>0</v>
      </c>
      <c r="E43" s="28">
        <f>PROGRAMADO!E43/'Anexo '!$B$23</f>
        <v>0</v>
      </c>
      <c r="F43" s="28">
        <f>PROGRAMADO!F43/'Anexo '!$B$23</f>
        <v>0</v>
      </c>
      <c r="G43" s="28">
        <f>PROGRAMADO!G43/'Anexo '!$B$23</f>
        <v>0</v>
      </c>
      <c r="H43" s="28">
        <f>PROGRAMADO!H43/'Anexo '!$B$23</f>
        <v>0</v>
      </c>
      <c r="I43" s="28">
        <f>PROGRAMADO!I43/'Anexo '!$C$23</f>
        <v>0</v>
      </c>
      <c r="J43" s="28">
        <f>PROGRAMADO!J43/'Anexo '!$C$23</f>
        <v>0</v>
      </c>
      <c r="K43" s="28">
        <f>PROGRAMADO!K43/'Anexo '!$C$23</f>
        <v>0</v>
      </c>
      <c r="L43" s="28">
        <f>PROGRAMADO!L43/'Anexo '!$C$23</f>
        <v>0</v>
      </c>
      <c r="M43" s="28">
        <f>PROGRAMADO!M43/'Anexo '!$C$23</f>
        <v>0</v>
      </c>
      <c r="N43" s="28">
        <f>PROGRAMADO!N43/'Anexo '!$C$23</f>
        <v>0</v>
      </c>
      <c r="O43" s="28">
        <f>PROGRAMADO!O43/'Anexo '!$C$23</f>
        <v>0</v>
      </c>
      <c r="P43" s="28">
        <f>PROGRAMADO!P43/'Anexo '!$D$23</f>
        <v>0</v>
      </c>
      <c r="Q43" s="28">
        <f>PROGRAMADO!Q43/'Anexo '!$D$23</f>
        <v>71657.746293286822</v>
      </c>
      <c r="R43" s="28">
        <f>PROGRAMADO!R43/'Anexo '!$D$23</f>
        <v>71657.746293286822</v>
      </c>
      <c r="S43" s="28">
        <f>PROGRAMADO!S43/'Anexo '!$D$23</f>
        <v>0</v>
      </c>
      <c r="T43" s="28">
        <f>PROGRAMADO!T43/'Anexo '!$D$23</f>
        <v>0</v>
      </c>
      <c r="U43" s="28">
        <f>PROGRAMADO!U43/'Anexo '!$D$23</f>
        <v>0</v>
      </c>
      <c r="V43" s="28">
        <f>PROGRAMADO!V43/'Anexo '!$D$23</f>
        <v>71657.746293286822</v>
      </c>
      <c r="W43" s="28">
        <f>PROGRAMADO!W43/'Anexo '!$E$23</f>
        <v>0</v>
      </c>
      <c r="X43" s="28">
        <f>PROGRAMADO!X43/'Anexo '!$E$23</f>
        <v>128493.30377152146</v>
      </c>
      <c r="Y43" s="28">
        <f>PROGRAMADO!Y43/'Anexo '!$E$23</f>
        <v>128493.30377152146</v>
      </c>
      <c r="Z43" s="28">
        <f>PROGRAMADO!Z43/'Anexo '!$E$23</f>
        <v>0</v>
      </c>
      <c r="AA43" s="28">
        <f>PROGRAMADO!AA43/'Anexo '!$E$23</f>
        <v>0</v>
      </c>
      <c r="AB43" s="28">
        <f>PROGRAMADO!AB43/'Anexo '!$E$23</f>
        <v>0</v>
      </c>
      <c r="AC43" s="28">
        <f>PROGRAMADO!AC43/'Anexo '!$E$23</f>
        <v>128493.30377152146</v>
      </c>
      <c r="AD43" s="28">
        <f>PROGRAMADO!AD43/'Anexo '!$F$23</f>
        <v>0</v>
      </c>
      <c r="AE43" s="28">
        <f>PROGRAMADO!AE43/'Anexo '!$F$23</f>
        <v>128400.68298235629</v>
      </c>
      <c r="AF43" s="28">
        <f>PROGRAMADO!AF43/'Anexo '!$F$23</f>
        <v>128400.68298235629</v>
      </c>
      <c r="AG43" s="28">
        <f>PROGRAMADO!AG43/'Anexo '!$F$23</f>
        <v>0</v>
      </c>
      <c r="AH43" s="28">
        <f>PROGRAMADO!AH43/'Anexo '!$F$23</f>
        <v>0</v>
      </c>
      <c r="AI43" s="28">
        <f>PROGRAMADO!AI43/'Anexo '!$F$23</f>
        <v>0</v>
      </c>
      <c r="AJ43" s="28">
        <f>PROGRAMADO!AJ43/'Anexo '!$F$23</f>
        <v>128400.68298235629</v>
      </c>
      <c r="AK43" s="28">
        <f>PROGRAMADO!AK43/'Anexo '!$G$23</f>
        <v>0</v>
      </c>
      <c r="AL43" s="28">
        <f>PROGRAMADO!AL43/'Anexo '!$G$23</f>
        <v>146353.36206195626</v>
      </c>
      <c r="AM43" s="28">
        <f>PROGRAMADO!AM43/'Anexo '!$G$23</f>
        <v>146353.36206195626</v>
      </c>
      <c r="AN43" s="28">
        <f>PROGRAMADO!AN43/'Anexo '!$G$23</f>
        <v>0</v>
      </c>
      <c r="AO43" s="28">
        <f>PROGRAMADO!AO43/'Anexo '!$G$23</f>
        <v>0</v>
      </c>
      <c r="AP43" s="28">
        <f>PROGRAMADO!AP43/'Anexo '!$G$23</f>
        <v>0</v>
      </c>
      <c r="AQ43" s="28">
        <f>PROGRAMADO!AQ43/'Anexo '!$G$23</f>
        <v>146353.36206195626</v>
      </c>
      <c r="AR43" s="28">
        <f>PROGRAMADO!AR43/'Anexo '!$H$23</f>
        <v>0</v>
      </c>
      <c r="AS43" s="28">
        <f>PROGRAMADO!AS43/'Anexo '!$H$23</f>
        <v>160954.78502366832</v>
      </c>
      <c r="AT43" s="28">
        <f>PROGRAMADO!AT43/'Anexo '!$H$23</f>
        <v>160954.78502366832</v>
      </c>
      <c r="AU43" s="28">
        <f>PROGRAMADO!AU43/'Anexo '!$H$23</f>
        <v>0</v>
      </c>
      <c r="AV43" s="28">
        <f>PROGRAMADO!AV43/'Anexo '!$H$23</f>
        <v>0</v>
      </c>
      <c r="AW43" s="28">
        <f>PROGRAMADO!AW43/'Anexo '!$H$23</f>
        <v>0</v>
      </c>
      <c r="AX43" s="28">
        <f>PROGRAMADO!AX43/'Anexo '!$H$23</f>
        <v>160954.78502366832</v>
      </c>
      <c r="AY43" s="28">
        <f>PROGRAMADO!AY43/'Anexo '!$I$23</f>
        <v>0</v>
      </c>
      <c r="AZ43" s="28">
        <f>PROGRAMADO!AZ43/'Anexo '!$I$23</f>
        <v>172050.00270364599</v>
      </c>
      <c r="BA43" s="28">
        <f>PROGRAMADO!BA43/'Anexo '!$I$23</f>
        <v>172050.00270364599</v>
      </c>
      <c r="BB43" s="28">
        <f>PROGRAMADO!BB43/'Anexo '!$I$23</f>
        <v>0</v>
      </c>
      <c r="BC43" s="28">
        <f>PROGRAMADO!BC43/'Anexo '!$I$23</f>
        <v>0</v>
      </c>
      <c r="BD43" s="28">
        <f>PROGRAMADO!BD43/'Anexo '!$I$23</f>
        <v>0</v>
      </c>
      <c r="BE43" s="28">
        <f>PROGRAMADO!BE43/'Anexo '!$I$23</f>
        <v>172050.00270364599</v>
      </c>
      <c r="BF43" s="28">
        <f>PROGRAMADO!BF43/'Anexo '!$J$23</f>
        <v>0</v>
      </c>
      <c r="BG43" s="28">
        <f>PROGRAMADO!BG43/'Anexo '!$J$23</f>
        <v>107696.05364199959</v>
      </c>
      <c r="BH43" s="28">
        <f>PROGRAMADO!BH43/'Anexo '!$J$23</f>
        <v>107696.05364199959</v>
      </c>
      <c r="BI43" s="28">
        <f>PROGRAMADO!BI43/'Anexo '!$J$23</f>
        <v>0</v>
      </c>
      <c r="BJ43" s="28">
        <f>PROGRAMADO!BJ43/'Anexo '!$J$23</f>
        <v>0</v>
      </c>
      <c r="BK43" s="28">
        <f>PROGRAMADO!BK43/'Anexo '!$J$23</f>
        <v>0</v>
      </c>
      <c r="BL43" s="28">
        <f>PROGRAMADO!BL43/'Anexo '!$J$23</f>
        <v>107696.05364199959</v>
      </c>
      <c r="BM43" s="28">
        <f>PROGRAMADO!BM43/'Anexo '!$K$23</f>
        <v>0</v>
      </c>
      <c r="BN43" s="28">
        <f>PROGRAMADO!BN43/'Anexo '!$K$23</f>
        <v>121420.64635239451</v>
      </c>
      <c r="BO43" s="28">
        <f>PROGRAMADO!BO43/'Anexo '!$K$23</f>
        <v>121420.64635239451</v>
      </c>
      <c r="BP43" s="28">
        <f>PROGRAMADO!BP43/'Anexo '!$K$23</f>
        <v>0</v>
      </c>
      <c r="BQ43" s="28">
        <f>PROGRAMADO!BQ43/'Anexo '!$K$23</f>
        <v>0</v>
      </c>
      <c r="BR43" s="28">
        <f>PROGRAMADO!BR43/'Anexo '!$K$23</f>
        <v>0</v>
      </c>
      <c r="BS43" s="28">
        <f>PROGRAMADO!BS43/'Anexo '!$K$23</f>
        <v>121420.64635239451</v>
      </c>
      <c r="BT43" s="28">
        <f>PROGRAMADO!BT43/'Anexo '!$L$23</f>
        <v>0</v>
      </c>
      <c r="BU43" s="28">
        <f>PROGRAMADO!BU43/'Anexo '!$L$23</f>
        <v>118912.62894588201</v>
      </c>
      <c r="BV43" s="28">
        <f>PROGRAMADO!BV43/'Anexo '!$L$23</f>
        <v>0</v>
      </c>
      <c r="BW43" s="28">
        <f>PROGRAMADO!BW43/'Anexo '!$L$23</f>
        <v>118912.62894588201</v>
      </c>
      <c r="BX43" s="28">
        <f>PROGRAMADO!BX43/'Anexo '!$L$23</f>
        <v>0</v>
      </c>
      <c r="BY43" s="28">
        <f>PROGRAMADO!BY43/'Anexo '!$L$23</f>
        <v>0</v>
      </c>
      <c r="BZ43" s="28">
        <f>PROGRAMADO!BZ43/'Anexo '!$L$23</f>
        <v>0</v>
      </c>
      <c r="CA43" s="28">
        <f>PROGRAMADO!CA43/'Anexo '!$L$23</f>
        <v>118912.62894588201</v>
      </c>
      <c r="CB43" s="28">
        <f>PROGRAMADO!CB43/'Anexo '!$M$23</f>
        <v>0</v>
      </c>
      <c r="CC43" s="28">
        <f>PROGRAMADO!CC43/'Anexo '!$M$23</f>
        <v>323062.50473303389</v>
      </c>
      <c r="CD43" s="28">
        <f>PROGRAMADO!CD43/'Anexo '!$M$23</f>
        <v>0</v>
      </c>
      <c r="CE43" s="28">
        <f>PROGRAMADO!CE43/'Anexo '!$M$23</f>
        <v>323062.50473303389</v>
      </c>
      <c r="CF43" s="28">
        <f>PROGRAMADO!CF43/'Anexo '!$M$23</f>
        <v>0</v>
      </c>
      <c r="CG43" s="28">
        <f>PROGRAMADO!CG43/'Anexo '!$M$23</f>
        <v>0</v>
      </c>
      <c r="CH43" s="28">
        <f>PROGRAMADO!CH43/'Anexo '!$M$23</f>
        <v>0</v>
      </c>
      <c r="CI43" s="29">
        <f>PROGRAMADO!CI43/'Anexo '!$M$23</f>
        <v>323062.50473303389</v>
      </c>
    </row>
    <row r="44" spans="1:101" x14ac:dyDescent="0.25">
      <c r="A44" s="15" t="s">
        <v>74</v>
      </c>
      <c r="B44" s="27">
        <f>PROGRAMADO!B44/'Anexo '!$B$23</f>
        <v>0</v>
      </c>
      <c r="C44" s="28">
        <f>PROGRAMADO!C44/'Anexo '!$B$23</f>
        <v>0</v>
      </c>
      <c r="D44" s="28">
        <f>PROGRAMADO!D44/'Anexo '!$B$23</f>
        <v>0</v>
      </c>
      <c r="E44" s="28">
        <f>PROGRAMADO!E44/'Anexo '!$B$23</f>
        <v>0</v>
      </c>
      <c r="F44" s="28">
        <f>PROGRAMADO!F44/'Anexo '!$B$23</f>
        <v>2640460.8702363996</v>
      </c>
      <c r="G44" s="28">
        <f>PROGRAMADO!G44/'Anexo '!$B$23</f>
        <v>2640460.8702363996</v>
      </c>
      <c r="H44" s="28">
        <f>PROGRAMADO!H44/'Anexo '!$B$23</f>
        <v>2640460.8702363996</v>
      </c>
      <c r="I44" s="28">
        <f>PROGRAMADO!I44/'Anexo '!$C$23</f>
        <v>0</v>
      </c>
      <c r="J44" s="28">
        <f>PROGRAMADO!J44/'Anexo '!$C$23</f>
        <v>0</v>
      </c>
      <c r="K44" s="28">
        <f>PROGRAMADO!K44/'Anexo '!$C$23</f>
        <v>0</v>
      </c>
      <c r="L44" s="28">
        <f>PROGRAMADO!L44/'Anexo '!$C$23</f>
        <v>0</v>
      </c>
      <c r="M44" s="28">
        <f>PROGRAMADO!M44/'Anexo '!$C$23</f>
        <v>0</v>
      </c>
      <c r="N44" s="28">
        <f>PROGRAMADO!N44/'Anexo '!$C$23</f>
        <v>0</v>
      </c>
      <c r="O44" s="28">
        <f>PROGRAMADO!O44/'Anexo '!$C$23</f>
        <v>0</v>
      </c>
      <c r="P44" s="28">
        <f>PROGRAMADO!P44/'Anexo '!$D$23</f>
        <v>0</v>
      </c>
      <c r="Q44" s="28">
        <f>PROGRAMADO!Q44/'Anexo '!$D$23</f>
        <v>0</v>
      </c>
      <c r="R44" s="28">
        <f>PROGRAMADO!R44/'Anexo '!$D$23</f>
        <v>0</v>
      </c>
      <c r="S44" s="28">
        <f>PROGRAMADO!S44/'Anexo '!$D$23</f>
        <v>0</v>
      </c>
      <c r="T44" s="28">
        <f>PROGRAMADO!T44/'Anexo '!$D$23</f>
        <v>0</v>
      </c>
      <c r="U44" s="28">
        <f>PROGRAMADO!U44/'Anexo '!$D$23</f>
        <v>0</v>
      </c>
      <c r="V44" s="28">
        <f>PROGRAMADO!V44/'Anexo '!$D$23</f>
        <v>0</v>
      </c>
      <c r="W44" s="28">
        <f>PROGRAMADO!W44/'Anexo '!$E$23</f>
        <v>5756201.7055810867</v>
      </c>
      <c r="X44" s="28">
        <f>PROGRAMADO!X44/'Anexo '!$E$23</f>
        <v>0</v>
      </c>
      <c r="Y44" s="28">
        <f>PROGRAMADO!Y44/'Anexo '!$E$23</f>
        <v>5756201.7055810867</v>
      </c>
      <c r="Z44" s="28">
        <f>PROGRAMADO!Z44/'Anexo '!$E$23</f>
        <v>5277201.7474138392</v>
      </c>
      <c r="AA44" s="28">
        <f>PROGRAMADO!AA44/'Anexo '!$E$23</f>
        <v>2537305.8512068749</v>
      </c>
      <c r="AB44" s="28">
        <f>PROGRAMADO!AB44/'Anexo '!$E$23</f>
        <v>7814507.5986207146</v>
      </c>
      <c r="AC44" s="28">
        <f>PROGRAMADO!AC44/'Anexo '!$E$23</f>
        <v>13570709.304201802</v>
      </c>
      <c r="AD44" s="28">
        <f>PROGRAMADO!AD44/'Anexo '!$F$23</f>
        <v>1762631.1895276038</v>
      </c>
      <c r="AE44" s="28">
        <f>PROGRAMADO!AE44/'Anexo '!$F$23</f>
        <v>0</v>
      </c>
      <c r="AF44" s="28">
        <f>PROGRAMADO!AF44/'Anexo '!$F$23</f>
        <v>1762631.1895276038</v>
      </c>
      <c r="AG44" s="28">
        <f>PROGRAMADO!AG44/'Anexo '!$F$23</f>
        <v>1014413.2612407512</v>
      </c>
      <c r="AH44" s="28">
        <f>PROGRAMADO!AH44/'Anexo '!$F$23</f>
        <v>14600000.796812749</v>
      </c>
      <c r="AI44" s="28">
        <f>PROGRAMADO!AI44/'Anexo '!$F$23</f>
        <v>15614414.058053501</v>
      </c>
      <c r="AJ44" s="28">
        <f>PROGRAMADO!AJ44/'Anexo '!$F$23</f>
        <v>17377045.247581106</v>
      </c>
      <c r="AK44" s="28">
        <f>PROGRAMADO!AK44/'Anexo '!$G$23</f>
        <v>2.000054638588503</v>
      </c>
      <c r="AL44" s="28">
        <f>PROGRAMADO!AL44/'Anexo '!$G$23</f>
        <v>0</v>
      </c>
      <c r="AM44" s="28">
        <f>PROGRAMADO!AM44/'Anexo '!$G$23</f>
        <v>2000054.6385885032</v>
      </c>
      <c r="AN44" s="28">
        <f>PROGRAMADO!AN44/'Anexo '!$G$23</f>
        <v>0</v>
      </c>
      <c r="AO44" s="28">
        <f>PROGRAMADO!AO44/'Anexo '!$G$23</f>
        <v>0</v>
      </c>
      <c r="AP44" s="28">
        <f>PROGRAMADO!AP44/'Anexo '!$G$23</f>
        <v>0</v>
      </c>
      <c r="AQ44" s="28">
        <f>PROGRAMADO!AQ44/'Anexo '!$G$23</f>
        <v>2000054.6385885032</v>
      </c>
      <c r="AR44" s="28">
        <f>PROGRAMADO!AR44/'Anexo '!$H$23</f>
        <v>5512095.8708232027</v>
      </c>
      <c r="AS44" s="28">
        <f>PROGRAMADO!AS44/'Anexo '!$H$23</f>
        <v>0</v>
      </c>
      <c r="AT44" s="28">
        <f>PROGRAMADO!AT44/'Anexo '!$H$23</f>
        <v>5512095.8708232027</v>
      </c>
      <c r="AU44" s="28">
        <f>PROGRAMADO!AU44/'Anexo '!$H$23</f>
        <v>0</v>
      </c>
      <c r="AV44" s="28">
        <f>PROGRAMADO!AV44/'Anexo '!$H$23</f>
        <v>0</v>
      </c>
      <c r="AW44" s="28">
        <f>PROGRAMADO!AW44/'Anexo '!$H$23</f>
        <v>0</v>
      </c>
      <c r="AX44" s="28">
        <f>PROGRAMADO!AX44/'Anexo '!$H$23</f>
        <v>5512095.8708232027</v>
      </c>
      <c r="AY44" s="28">
        <f>PROGRAMADO!AY44/'Anexo '!$I$23</f>
        <v>4123275.2950660917</v>
      </c>
      <c r="AZ44" s="28">
        <f>PROGRAMADO!AZ44/'Anexo '!$I$23</f>
        <v>0</v>
      </c>
      <c r="BA44" s="28">
        <f>PROGRAMADO!BA44/'Anexo '!$I$23</f>
        <v>4123275.2950660917</v>
      </c>
      <c r="BB44" s="28">
        <f>PROGRAMADO!BB44/'Anexo '!$I$23</f>
        <v>0</v>
      </c>
      <c r="BC44" s="28">
        <f>PROGRAMADO!BC44/'Anexo '!$I$23</f>
        <v>0</v>
      </c>
      <c r="BD44" s="28">
        <f>PROGRAMADO!BD44/'Anexo '!$I$23</f>
        <v>0</v>
      </c>
      <c r="BE44" s="28">
        <f>PROGRAMADO!BE44/'Anexo '!$I$23</f>
        <v>4123275.2950660917</v>
      </c>
      <c r="BF44" s="28">
        <f>PROGRAMADO!BF44/'Anexo '!$J$23</f>
        <v>0</v>
      </c>
      <c r="BG44" s="28">
        <f>PROGRAMADO!BG44/'Anexo '!$J$23</f>
        <v>0</v>
      </c>
      <c r="BH44" s="28">
        <f>PROGRAMADO!BH44/'Anexo '!$J$23</f>
        <v>0</v>
      </c>
      <c r="BI44" s="28">
        <f>PROGRAMADO!BI44/'Anexo '!$J$23</f>
        <v>0</v>
      </c>
      <c r="BJ44" s="28">
        <f>PROGRAMADO!BJ44/'Anexo '!$J$23</f>
        <v>0</v>
      </c>
      <c r="BK44" s="28">
        <f>PROGRAMADO!BK44/'Anexo '!$J$23</f>
        <v>0</v>
      </c>
      <c r="BL44" s="28">
        <f>PROGRAMADO!BL44/'Anexo '!$J$23</f>
        <v>0</v>
      </c>
      <c r="BM44" s="28">
        <f>PROGRAMADO!BM44/'Anexo '!$K$23</f>
        <v>0</v>
      </c>
      <c r="BN44" s="28">
        <f>PROGRAMADO!BN44/'Anexo '!$K$23</f>
        <v>0</v>
      </c>
      <c r="BO44" s="28">
        <f>PROGRAMADO!BO44/'Anexo '!$K$23</f>
        <v>0</v>
      </c>
      <c r="BP44" s="28">
        <f>PROGRAMADO!BP44/'Anexo '!$K$23</f>
        <v>0</v>
      </c>
      <c r="BQ44" s="28">
        <f>PROGRAMADO!BQ44/'Anexo '!$K$23</f>
        <v>0</v>
      </c>
      <c r="BR44" s="28">
        <f>PROGRAMADO!BR44/'Anexo '!$K$23</f>
        <v>0</v>
      </c>
      <c r="BS44" s="28">
        <f>PROGRAMADO!BS44/'Anexo '!$K$23</f>
        <v>0</v>
      </c>
      <c r="BT44" s="28">
        <f>PROGRAMADO!BT44/'Anexo '!$L$23</f>
        <v>0</v>
      </c>
      <c r="BU44" s="28">
        <f>PROGRAMADO!BU44/'Anexo '!$L$23</f>
        <v>0</v>
      </c>
      <c r="BV44" s="28">
        <f>PROGRAMADO!BV44/'Anexo '!$L$23</f>
        <v>0</v>
      </c>
      <c r="BW44" s="28">
        <f>PROGRAMADO!BW44/'Anexo '!$L$23</f>
        <v>0</v>
      </c>
      <c r="BX44" s="28">
        <f>PROGRAMADO!BX44/'Anexo '!$L$23</f>
        <v>0</v>
      </c>
      <c r="BY44" s="28">
        <f>PROGRAMADO!BY44/'Anexo '!$L$23</f>
        <v>0</v>
      </c>
      <c r="BZ44" s="28">
        <f>PROGRAMADO!BZ44/'Anexo '!$L$23</f>
        <v>0</v>
      </c>
      <c r="CA44" s="28">
        <f>PROGRAMADO!CA44/'Anexo '!$L$23</f>
        <v>0</v>
      </c>
      <c r="CB44" s="28">
        <f>PROGRAMADO!CB44/'Anexo '!$M$23</f>
        <v>0</v>
      </c>
      <c r="CC44" s="28">
        <f>PROGRAMADO!CC44/'Anexo '!$M$23</f>
        <v>0</v>
      </c>
      <c r="CD44" s="28">
        <f>PROGRAMADO!CD44/'Anexo '!$M$23</f>
        <v>0</v>
      </c>
      <c r="CE44" s="28">
        <f>PROGRAMADO!CE44/'Anexo '!$M$23</f>
        <v>0</v>
      </c>
      <c r="CF44" s="28">
        <f>PROGRAMADO!CF44/'Anexo '!$M$23</f>
        <v>0</v>
      </c>
      <c r="CG44" s="28">
        <f>PROGRAMADO!CG44/'Anexo '!$M$23</f>
        <v>0</v>
      </c>
      <c r="CH44" s="28">
        <f>PROGRAMADO!CH44/'Anexo '!$M$23</f>
        <v>0</v>
      </c>
      <c r="CI44" s="29">
        <f>PROGRAMADO!CI44/'Anexo '!$M$23</f>
        <v>0</v>
      </c>
    </row>
    <row r="45" spans="1:101" x14ac:dyDescent="0.25">
      <c r="A45" s="15" t="s">
        <v>75</v>
      </c>
      <c r="B45" s="27">
        <f>PROGRAMADO!B45/'Anexo '!$B$23</f>
        <v>0</v>
      </c>
      <c r="C45" s="28">
        <f>PROGRAMADO!C45/'Anexo '!$B$23</f>
        <v>1150772.2102545029</v>
      </c>
      <c r="D45" s="28">
        <f>PROGRAMADO!D45/'Anexo '!$B$23</f>
        <v>1150772.2102545029</v>
      </c>
      <c r="E45" s="28">
        <f>PROGRAMADO!E45/'Anexo '!$B$23</f>
        <v>1934159.8310329583</v>
      </c>
      <c r="F45" s="28">
        <f>PROGRAMADO!F45/'Anexo '!$B$23</f>
        <v>2070719.1624623719</v>
      </c>
      <c r="G45" s="28">
        <f>PROGRAMADO!G45/'Anexo '!$B$23</f>
        <v>4004878.9934953302</v>
      </c>
      <c r="H45" s="28">
        <f>PROGRAMADO!H45/'Anexo '!$B$23</f>
        <v>5155651.2037498327</v>
      </c>
      <c r="I45" s="28">
        <f>PROGRAMADO!I45/'Anexo '!$C$23</f>
        <v>0</v>
      </c>
      <c r="J45" s="28">
        <f>PROGRAMADO!J45/'Anexo '!$C$23</f>
        <v>2547328.2847005241</v>
      </c>
      <c r="K45" s="28">
        <f>PROGRAMADO!K45/'Anexo '!$C$23</f>
        <v>2547328.2847005241</v>
      </c>
      <c r="L45" s="28">
        <f>PROGRAMADO!L45/'Anexo '!$C$23</f>
        <v>744796.90727109031</v>
      </c>
      <c r="M45" s="28">
        <f>PROGRAMADO!M45/'Anexo '!$C$23</f>
        <v>3265139.2787163057</v>
      </c>
      <c r="N45" s="28">
        <f>PROGRAMADO!N45/'Anexo '!$C$23</f>
        <v>4009936.1859873957</v>
      </c>
      <c r="O45" s="28">
        <f>PROGRAMADO!O45/'Anexo '!$C$23</f>
        <v>6557264.4706879202</v>
      </c>
      <c r="P45" s="28">
        <f>PROGRAMADO!P45/'Anexo '!$D$23</f>
        <v>0</v>
      </c>
      <c r="Q45" s="28">
        <f>PROGRAMADO!Q45/'Anexo '!$D$23</f>
        <v>0</v>
      </c>
      <c r="R45" s="28">
        <f>PROGRAMADO!R45/'Anexo '!$D$23</f>
        <v>0</v>
      </c>
      <c r="S45" s="28">
        <f>PROGRAMADO!S45/'Anexo '!$D$23</f>
        <v>0</v>
      </c>
      <c r="T45" s="28">
        <f>PROGRAMADO!T45/'Anexo '!$D$23</f>
        <v>0</v>
      </c>
      <c r="U45" s="28">
        <f>PROGRAMADO!U45/'Anexo '!$D$23</f>
        <v>0</v>
      </c>
      <c r="V45" s="28">
        <f>PROGRAMADO!V45/'Anexo '!$D$23</f>
        <v>0</v>
      </c>
      <c r="W45" s="28">
        <f>PROGRAMADO!W45/'Anexo '!$E$23</f>
        <v>0</v>
      </c>
      <c r="X45" s="28">
        <f>PROGRAMADO!X45/'Anexo '!$E$23</f>
        <v>0</v>
      </c>
      <c r="Y45" s="28">
        <f>PROGRAMADO!Y45/'Anexo '!$E$23</f>
        <v>0</v>
      </c>
      <c r="Z45" s="28">
        <f>PROGRAMADO!Z45/'Anexo '!$E$23</f>
        <v>0</v>
      </c>
      <c r="AA45" s="28">
        <f>PROGRAMADO!AA45/'Anexo '!$E$23</f>
        <v>0</v>
      </c>
      <c r="AB45" s="28">
        <f>PROGRAMADO!AB45/'Anexo '!$E$23</f>
        <v>0</v>
      </c>
      <c r="AC45" s="28">
        <f>PROGRAMADO!AC45/'Anexo '!$E$23</f>
        <v>0</v>
      </c>
      <c r="AD45" s="28">
        <f>PROGRAMADO!AD45/'Anexo '!$F$23</f>
        <v>0</v>
      </c>
      <c r="AE45" s="28">
        <f>PROGRAMADO!AE45/'Anexo '!$F$23</f>
        <v>0</v>
      </c>
      <c r="AF45" s="28">
        <f>PROGRAMADO!AF45/'Anexo '!$F$23</f>
        <v>0</v>
      </c>
      <c r="AG45" s="28">
        <f>PROGRAMADO!AG45/'Anexo '!$F$23</f>
        <v>0</v>
      </c>
      <c r="AH45" s="28">
        <f>PROGRAMADO!AH45/'Anexo '!$F$23</f>
        <v>0</v>
      </c>
      <c r="AI45" s="28">
        <f>PROGRAMADO!AI45/'Anexo '!$F$23</f>
        <v>0</v>
      </c>
      <c r="AJ45" s="28">
        <f>PROGRAMADO!AJ45/'Anexo '!$F$23</f>
        <v>0</v>
      </c>
      <c r="AK45" s="28">
        <f>PROGRAMADO!AK45/'Anexo '!$G$23</f>
        <v>0</v>
      </c>
      <c r="AL45" s="28">
        <f>PROGRAMADO!AL45/'Anexo '!$G$23</f>
        <v>0</v>
      </c>
      <c r="AM45" s="28">
        <f>PROGRAMADO!AM45/'Anexo '!$G$23</f>
        <v>0</v>
      </c>
      <c r="AN45" s="28">
        <f>PROGRAMADO!AN45/'Anexo '!$G$23</f>
        <v>0</v>
      </c>
      <c r="AO45" s="28">
        <f>PROGRAMADO!AO45/'Anexo '!$G$23</f>
        <v>0</v>
      </c>
      <c r="AP45" s="28">
        <f>PROGRAMADO!AP45/'Anexo '!$G$23</f>
        <v>0</v>
      </c>
      <c r="AQ45" s="28">
        <f>PROGRAMADO!AQ45/'Anexo '!$G$23</f>
        <v>0</v>
      </c>
      <c r="AR45" s="28">
        <f>PROGRAMADO!AR45/'Anexo '!$H$23</f>
        <v>0</v>
      </c>
      <c r="AS45" s="28">
        <f>PROGRAMADO!AS45/'Anexo '!$H$23</f>
        <v>0</v>
      </c>
      <c r="AT45" s="28">
        <f>PROGRAMADO!AT45/'Anexo '!$H$23</f>
        <v>0</v>
      </c>
      <c r="AU45" s="28">
        <f>PROGRAMADO!AU45/'Anexo '!$H$23</f>
        <v>0</v>
      </c>
      <c r="AV45" s="28">
        <f>PROGRAMADO!AV45/'Anexo '!$H$23</f>
        <v>0</v>
      </c>
      <c r="AW45" s="28">
        <f>PROGRAMADO!AW45/'Anexo '!$H$23</f>
        <v>0</v>
      </c>
      <c r="AX45" s="28">
        <f>PROGRAMADO!AX45/'Anexo '!$H$23</f>
        <v>0</v>
      </c>
      <c r="AY45" s="28">
        <f>PROGRAMADO!AY45/'Anexo '!$I$23</f>
        <v>0</v>
      </c>
      <c r="AZ45" s="28">
        <f>PROGRAMADO!AZ45/'Anexo '!$I$23</f>
        <v>0</v>
      </c>
      <c r="BA45" s="28">
        <f>PROGRAMADO!BA45/'Anexo '!$I$23</f>
        <v>0</v>
      </c>
      <c r="BB45" s="28">
        <f>PROGRAMADO!BB45/'Anexo '!$I$23</f>
        <v>0</v>
      </c>
      <c r="BC45" s="28">
        <f>PROGRAMADO!BC45/'Anexo '!$I$23</f>
        <v>0</v>
      </c>
      <c r="BD45" s="28">
        <f>PROGRAMADO!BD45/'Anexo '!$I$23</f>
        <v>0</v>
      </c>
      <c r="BE45" s="28">
        <f>PROGRAMADO!BE45/'Anexo '!$I$23</f>
        <v>0</v>
      </c>
      <c r="BF45" s="28">
        <f>PROGRAMADO!BF45/'Anexo '!$J$23</f>
        <v>0</v>
      </c>
      <c r="BG45" s="28">
        <f>PROGRAMADO!BG45/'Anexo '!$J$23</f>
        <v>0</v>
      </c>
      <c r="BH45" s="28">
        <f>PROGRAMADO!BH45/'Anexo '!$J$23</f>
        <v>0</v>
      </c>
      <c r="BI45" s="28">
        <f>PROGRAMADO!BI45/'Anexo '!$J$23</f>
        <v>0</v>
      </c>
      <c r="BJ45" s="28">
        <f>PROGRAMADO!BJ45/'Anexo '!$J$23</f>
        <v>0</v>
      </c>
      <c r="BK45" s="28">
        <f>PROGRAMADO!BK45/'Anexo '!$J$23</f>
        <v>0</v>
      </c>
      <c r="BL45" s="28">
        <f>PROGRAMADO!BL45/'Anexo '!$J$23</f>
        <v>0</v>
      </c>
      <c r="BM45" s="28">
        <f>PROGRAMADO!BM45/'Anexo '!$K$23</f>
        <v>0</v>
      </c>
      <c r="BN45" s="28">
        <f>PROGRAMADO!BN45/'Anexo '!$K$23</f>
        <v>0</v>
      </c>
      <c r="BO45" s="28">
        <f>PROGRAMADO!BO45/'Anexo '!$K$23</f>
        <v>0</v>
      </c>
      <c r="BP45" s="28">
        <f>PROGRAMADO!BP45/'Anexo '!$K$23</f>
        <v>0</v>
      </c>
      <c r="BQ45" s="28">
        <f>PROGRAMADO!BQ45/'Anexo '!$K$23</f>
        <v>0</v>
      </c>
      <c r="BR45" s="28">
        <f>PROGRAMADO!BR45/'Anexo '!$K$23</f>
        <v>0</v>
      </c>
      <c r="BS45" s="28">
        <f>PROGRAMADO!BS45/'Anexo '!$K$23</f>
        <v>0</v>
      </c>
      <c r="BT45" s="28">
        <f>PROGRAMADO!BT45/'Anexo '!$L$23</f>
        <v>0</v>
      </c>
      <c r="BU45" s="28">
        <f>PROGRAMADO!BU45/'Anexo '!$L$23</f>
        <v>0</v>
      </c>
      <c r="BV45" s="28">
        <f>PROGRAMADO!BV45/'Anexo '!$L$23</f>
        <v>0</v>
      </c>
      <c r="BW45" s="28">
        <f>PROGRAMADO!BW45/'Anexo '!$L$23</f>
        <v>0</v>
      </c>
      <c r="BX45" s="28">
        <f>PROGRAMADO!BX45/'Anexo '!$L$23</f>
        <v>0</v>
      </c>
      <c r="BY45" s="28">
        <f>PROGRAMADO!BY45/'Anexo '!$L$23</f>
        <v>0</v>
      </c>
      <c r="BZ45" s="28">
        <f>PROGRAMADO!BZ45/'Anexo '!$L$23</f>
        <v>0</v>
      </c>
      <c r="CA45" s="28">
        <f>PROGRAMADO!CA45/'Anexo '!$L$23</f>
        <v>0</v>
      </c>
      <c r="CB45" s="28">
        <f>PROGRAMADO!CB45/'Anexo '!$M$23</f>
        <v>0</v>
      </c>
      <c r="CC45" s="28">
        <f>PROGRAMADO!CC45/'Anexo '!$M$23</f>
        <v>0</v>
      </c>
      <c r="CD45" s="28">
        <f>PROGRAMADO!CD45/'Anexo '!$M$23</f>
        <v>0</v>
      </c>
      <c r="CE45" s="28">
        <f>PROGRAMADO!CE45/'Anexo '!$M$23</f>
        <v>0</v>
      </c>
      <c r="CF45" s="28">
        <f>PROGRAMADO!CF45/'Anexo '!$M$23</f>
        <v>0</v>
      </c>
      <c r="CG45" s="28">
        <f>PROGRAMADO!CG45/'Anexo '!$M$23</f>
        <v>0</v>
      </c>
      <c r="CH45" s="28">
        <f>PROGRAMADO!CH45/'Anexo '!$M$23</f>
        <v>0</v>
      </c>
      <c r="CI45" s="29">
        <f>PROGRAMADO!CI45/'Anexo '!$M$23</f>
        <v>0</v>
      </c>
    </row>
    <row r="46" spans="1:101" x14ac:dyDescent="0.25">
      <c r="A46" s="15" t="s">
        <v>38</v>
      </c>
      <c r="B46" s="27">
        <f>PROGRAMADO!B46/'Anexo '!$B$23</f>
        <v>0</v>
      </c>
      <c r="C46" s="28">
        <f>PROGRAMADO!C46/'Anexo '!$B$23</f>
        <v>555679.13102664321</v>
      </c>
      <c r="D46" s="28">
        <f>PROGRAMADO!D46/'Anexo '!$B$23</f>
        <v>555679.13102664321</v>
      </c>
      <c r="E46" s="28">
        <f>PROGRAMADO!E46/'Anexo '!$B$23</f>
        <v>0</v>
      </c>
      <c r="F46" s="28">
        <f>PROGRAMADO!F46/'Anexo '!$B$23</f>
        <v>2672370.2399079381</v>
      </c>
      <c r="G46" s="28">
        <f>PROGRAMADO!G46/'Anexo '!$B$23</f>
        <v>2672370.2399079381</v>
      </c>
      <c r="H46" s="28">
        <f>PROGRAMADO!H46/'Anexo '!$B$23</f>
        <v>3228049.3709345814</v>
      </c>
      <c r="I46" s="28">
        <f>PROGRAMADO!I46/'Anexo '!$C$23</f>
        <v>0</v>
      </c>
      <c r="J46" s="28">
        <f>PROGRAMADO!J46/'Anexo '!$C$23</f>
        <v>561252.46253243648</v>
      </c>
      <c r="K46" s="28">
        <f>PROGRAMADO!K46/'Anexo '!$C$23</f>
        <v>561252.46253243648</v>
      </c>
      <c r="L46" s="28">
        <f>PROGRAMADO!L46/'Anexo '!$C$23</f>
        <v>0</v>
      </c>
      <c r="M46" s="28">
        <f>PROGRAMADO!M46/'Anexo '!$C$23</f>
        <v>0</v>
      </c>
      <c r="N46" s="28">
        <f>PROGRAMADO!N46/'Anexo '!$C$23</f>
        <v>0</v>
      </c>
      <c r="O46" s="28">
        <f>PROGRAMADO!O46/'Anexo '!$C$23</f>
        <v>561252.46253243648</v>
      </c>
      <c r="P46" s="28">
        <f>PROGRAMADO!P46/'Anexo '!$D$23</f>
        <v>0</v>
      </c>
      <c r="Q46" s="28">
        <f>PROGRAMADO!Q46/'Anexo '!$D$23</f>
        <v>0</v>
      </c>
      <c r="R46" s="28">
        <f>PROGRAMADO!R46/'Anexo '!$D$23</f>
        <v>0</v>
      </c>
      <c r="S46" s="28">
        <f>PROGRAMADO!S46/'Anexo '!$D$23</f>
        <v>0</v>
      </c>
      <c r="T46" s="28">
        <f>PROGRAMADO!T46/'Anexo '!$D$23</f>
        <v>0</v>
      </c>
      <c r="U46" s="28">
        <f>PROGRAMADO!U46/'Anexo '!$D$23</f>
        <v>0</v>
      </c>
      <c r="V46" s="28">
        <f>PROGRAMADO!V46/'Anexo '!$D$23</f>
        <v>0</v>
      </c>
      <c r="W46" s="28">
        <f>PROGRAMADO!W46/'Anexo '!$E$23</f>
        <v>0</v>
      </c>
      <c r="X46" s="28">
        <f>PROGRAMADO!X46/'Anexo '!$E$23</f>
        <v>0</v>
      </c>
      <c r="Y46" s="28">
        <f>PROGRAMADO!Y46/'Anexo '!$E$23</f>
        <v>0</v>
      </c>
      <c r="Z46" s="28">
        <f>PROGRAMADO!Z46/'Anexo '!$E$23</f>
        <v>0</v>
      </c>
      <c r="AA46" s="28">
        <f>PROGRAMADO!AA46/'Anexo '!$E$23</f>
        <v>0</v>
      </c>
      <c r="AB46" s="28">
        <f>PROGRAMADO!AB46/'Anexo '!$E$23</f>
        <v>0</v>
      </c>
      <c r="AC46" s="28">
        <f>PROGRAMADO!AC46/'Anexo '!$E$23</f>
        <v>0</v>
      </c>
      <c r="AD46" s="28">
        <f>PROGRAMADO!AD46/'Anexo '!$F$23</f>
        <v>0</v>
      </c>
      <c r="AE46" s="28">
        <f>PROGRAMADO!AE46/'Anexo '!$F$23</f>
        <v>0</v>
      </c>
      <c r="AF46" s="28">
        <f>PROGRAMADO!AF46/'Anexo '!$F$23</f>
        <v>0</v>
      </c>
      <c r="AG46" s="28">
        <f>PROGRAMADO!AG46/'Anexo '!$F$23</f>
        <v>0</v>
      </c>
      <c r="AH46" s="28">
        <f>PROGRAMADO!AH46/'Anexo '!$F$23</f>
        <v>0</v>
      </c>
      <c r="AI46" s="28">
        <f>PROGRAMADO!AI46/'Anexo '!$F$23</f>
        <v>0</v>
      </c>
      <c r="AJ46" s="28">
        <f>PROGRAMADO!AJ46/'Anexo '!$F$23</f>
        <v>0</v>
      </c>
      <c r="AK46" s="28">
        <f>PROGRAMADO!AK46/'Anexo '!$G$23</f>
        <v>0</v>
      </c>
      <c r="AL46" s="28">
        <f>PROGRAMADO!AL46/'Anexo '!$G$23</f>
        <v>0</v>
      </c>
      <c r="AM46" s="28">
        <f>PROGRAMADO!AM46/'Anexo '!$G$23</f>
        <v>0</v>
      </c>
      <c r="AN46" s="28">
        <f>PROGRAMADO!AN46/'Anexo '!$G$23</f>
        <v>0</v>
      </c>
      <c r="AO46" s="28">
        <f>PROGRAMADO!AO46/'Anexo '!$G$23</f>
        <v>0</v>
      </c>
      <c r="AP46" s="28">
        <f>PROGRAMADO!AP46/'Anexo '!$G$23</f>
        <v>0</v>
      </c>
      <c r="AQ46" s="28">
        <f>PROGRAMADO!AQ46/'Anexo '!$G$23</f>
        <v>0</v>
      </c>
      <c r="AR46" s="28">
        <f>PROGRAMADO!AR46/'Anexo '!$H$23</f>
        <v>0</v>
      </c>
      <c r="AS46" s="28">
        <f>PROGRAMADO!AS46/'Anexo '!$H$23</f>
        <v>0</v>
      </c>
      <c r="AT46" s="28">
        <f>PROGRAMADO!AT46/'Anexo '!$H$23</f>
        <v>0</v>
      </c>
      <c r="AU46" s="28">
        <f>PROGRAMADO!AU46/'Anexo '!$H$23</f>
        <v>0</v>
      </c>
      <c r="AV46" s="28">
        <f>PROGRAMADO!AV46/'Anexo '!$H$23</f>
        <v>0</v>
      </c>
      <c r="AW46" s="28">
        <f>PROGRAMADO!AW46/'Anexo '!$H$23</f>
        <v>0</v>
      </c>
      <c r="AX46" s="28">
        <f>PROGRAMADO!AX46/'Anexo '!$H$23</f>
        <v>0</v>
      </c>
      <c r="AY46" s="28">
        <f>PROGRAMADO!AY46/'Anexo '!$I$23</f>
        <v>0</v>
      </c>
      <c r="AZ46" s="28">
        <f>PROGRAMADO!AZ46/'Anexo '!$I$23</f>
        <v>0</v>
      </c>
      <c r="BA46" s="28">
        <f>PROGRAMADO!BA46/'Anexo '!$I$23</f>
        <v>0</v>
      </c>
      <c r="BB46" s="28">
        <f>PROGRAMADO!BB46/'Anexo '!$I$23</f>
        <v>0</v>
      </c>
      <c r="BC46" s="28">
        <f>PROGRAMADO!BC46/'Anexo '!$I$23</f>
        <v>0</v>
      </c>
      <c r="BD46" s="28">
        <f>PROGRAMADO!BD46/'Anexo '!$I$23</f>
        <v>0</v>
      </c>
      <c r="BE46" s="28">
        <f>PROGRAMADO!BE46/'Anexo '!$I$23</f>
        <v>0</v>
      </c>
      <c r="BF46" s="28">
        <f>PROGRAMADO!BF46/'Anexo '!$J$23</f>
        <v>0</v>
      </c>
      <c r="BG46" s="28">
        <f>PROGRAMADO!BG46/'Anexo '!$J$23</f>
        <v>0</v>
      </c>
      <c r="BH46" s="28">
        <f>PROGRAMADO!BH46/'Anexo '!$J$23</f>
        <v>0</v>
      </c>
      <c r="BI46" s="28">
        <f>PROGRAMADO!BI46/'Anexo '!$J$23</f>
        <v>0</v>
      </c>
      <c r="BJ46" s="28">
        <f>PROGRAMADO!BJ46/'Anexo '!$J$23</f>
        <v>0</v>
      </c>
      <c r="BK46" s="28">
        <f>PROGRAMADO!BK46/'Anexo '!$J$23</f>
        <v>0</v>
      </c>
      <c r="BL46" s="28">
        <f>PROGRAMADO!BL46/'Anexo '!$J$23</f>
        <v>0</v>
      </c>
      <c r="BM46" s="28">
        <f>PROGRAMADO!BM46/'Anexo '!$K$23</f>
        <v>0</v>
      </c>
      <c r="BN46" s="28">
        <f>PROGRAMADO!BN46/'Anexo '!$K$23</f>
        <v>0</v>
      </c>
      <c r="BO46" s="28">
        <f>PROGRAMADO!BO46/'Anexo '!$K$23</f>
        <v>0</v>
      </c>
      <c r="BP46" s="28">
        <f>PROGRAMADO!BP46/'Anexo '!$K$23</f>
        <v>0</v>
      </c>
      <c r="BQ46" s="28">
        <f>PROGRAMADO!BQ46/'Anexo '!$K$23</f>
        <v>0</v>
      </c>
      <c r="BR46" s="28">
        <f>PROGRAMADO!BR46/'Anexo '!$K$23</f>
        <v>0</v>
      </c>
      <c r="BS46" s="28">
        <f>PROGRAMADO!BS46/'Anexo '!$K$23</f>
        <v>0</v>
      </c>
      <c r="BT46" s="28">
        <f>PROGRAMADO!BT46/'Anexo '!$L$23</f>
        <v>0</v>
      </c>
      <c r="BU46" s="28">
        <f>PROGRAMADO!BU46/'Anexo '!$L$23</f>
        <v>0</v>
      </c>
      <c r="BV46" s="28">
        <f>PROGRAMADO!BV46/'Anexo '!$L$23</f>
        <v>0</v>
      </c>
      <c r="BW46" s="28">
        <f>PROGRAMADO!BW46/'Anexo '!$L$23</f>
        <v>0</v>
      </c>
      <c r="BX46" s="28">
        <f>PROGRAMADO!BX46/'Anexo '!$L$23</f>
        <v>0</v>
      </c>
      <c r="BY46" s="28">
        <f>PROGRAMADO!BY46/'Anexo '!$L$23</f>
        <v>0</v>
      </c>
      <c r="BZ46" s="28">
        <f>PROGRAMADO!BZ46/'Anexo '!$L$23</f>
        <v>0</v>
      </c>
      <c r="CA46" s="28">
        <f>PROGRAMADO!CA46/'Anexo '!$L$23</f>
        <v>0</v>
      </c>
      <c r="CB46" s="28">
        <f>PROGRAMADO!CB46/'Anexo '!$M$23</f>
        <v>0</v>
      </c>
      <c r="CC46" s="28">
        <f>PROGRAMADO!CC46/'Anexo '!$M$23</f>
        <v>0</v>
      </c>
      <c r="CD46" s="28">
        <f>PROGRAMADO!CD46/'Anexo '!$M$23</f>
        <v>0</v>
      </c>
      <c r="CE46" s="28">
        <f>PROGRAMADO!CE46/'Anexo '!$M$23</f>
        <v>0</v>
      </c>
      <c r="CF46" s="28">
        <f>PROGRAMADO!CF46/'Anexo '!$M$23</f>
        <v>0</v>
      </c>
      <c r="CG46" s="28">
        <f>PROGRAMADO!CG46/'Anexo '!$M$23</f>
        <v>0</v>
      </c>
      <c r="CH46" s="28">
        <f>PROGRAMADO!CH46/'Anexo '!$M$23</f>
        <v>0</v>
      </c>
      <c r="CI46" s="29">
        <f>PROGRAMADO!CI46/'Anexo '!$M$23</f>
        <v>0</v>
      </c>
    </row>
    <row r="47" spans="1:101" x14ac:dyDescent="0.25">
      <c r="A47" s="15" t="s">
        <v>76</v>
      </c>
      <c r="B47" s="27">
        <f>PROGRAMADO!B47/'Anexo '!$B$23</f>
        <v>0</v>
      </c>
      <c r="C47" s="28">
        <f>PROGRAMADO!C47/'Anexo '!$B$23</f>
        <v>0</v>
      </c>
      <c r="D47" s="28">
        <f>PROGRAMADO!D47/'Anexo '!$B$23</f>
        <v>0</v>
      </c>
      <c r="E47" s="28">
        <f>PROGRAMADO!E47/'Anexo '!$B$23</f>
        <v>0</v>
      </c>
      <c r="F47" s="28">
        <f>PROGRAMADO!F47/'Anexo '!$B$23</f>
        <v>0</v>
      </c>
      <c r="G47" s="28">
        <f>PROGRAMADO!G47/'Anexo '!$B$23</f>
        <v>0</v>
      </c>
      <c r="H47" s="28">
        <f>PROGRAMADO!H47/'Anexo '!$B$23</f>
        <v>0</v>
      </c>
      <c r="I47" s="28">
        <f>PROGRAMADO!I47/'Anexo '!$C$23</f>
        <v>0</v>
      </c>
      <c r="J47" s="28">
        <f>PROGRAMADO!J47/'Anexo '!$C$23</f>
        <v>2436053.5931790499</v>
      </c>
      <c r="K47" s="28">
        <f>PROGRAMADO!K47/'Anexo '!$C$23</f>
        <v>2436053.5931790499</v>
      </c>
      <c r="L47" s="28">
        <f>PROGRAMADO!L47/'Anexo '!$C$23</f>
        <v>0</v>
      </c>
      <c r="M47" s="28">
        <f>PROGRAMADO!M47/'Anexo '!$C$23</f>
        <v>0</v>
      </c>
      <c r="N47" s="28">
        <f>PROGRAMADO!N47/'Anexo '!$C$23</f>
        <v>0</v>
      </c>
      <c r="O47" s="28">
        <f>PROGRAMADO!O47/'Anexo '!$C$23</f>
        <v>2436053.5931790499</v>
      </c>
      <c r="P47" s="28">
        <f>PROGRAMADO!P47/'Anexo '!$D$23</f>
        <v>0</v>
      </c>
      <c r="Q47" s="28">
        <f>PROGRAMADO!Q47/'Anexo '!$D$23</f>
        <v>0</v>
      </c>
      <c r="R47" s="28">
        <f>PROGRAMADO!R47/'Anexo '!$D$23</f>
        <v>0</v>
      </c>
      <c r="S47" s="28">
        <f>PROGRAMADO!S47/'Anexo '!$D$23</f>
        <v>0</v>
      </c>
      <c r="T47" s="28">
        <f>PROGRAMADO!T47/'Anexo '!$D$23</f>
        <v>0</v>
      </c>
      <c r="U47" s="28">
        <f>PROGRAMADO!U47/'Anexo '!$D$23</f>
        <v>0</v>
      </c>
      <c r="V47" s="28">
        <f>PROGRAMADO!V47/'Anexo '!$D$23</f>
        <v>0</v>
      </c>
      <c r="W47" s="28">
        <f>PROGRAMADO!W47/'Anexo '!$E$23</f>
        <v>0</v>
      </c>
      <c r="X47" s="28">
        <f>PROGRAMADO!X47/'Anexo '!$E$23</f>
        <v>0</v>
      </c>
      <c r="Y47" s="28">
        <f>PROGRAMADO!Y47/'Anexo '!$E$23</f>
        <v>0</v>
      </c>
      <c r="Z47" s="28">
        <f>PROGRAMADO!Z47/'Anexo '!$E$23</f>
        <v>0</v>
      </c>
      <c r="AA47" s="28">
        <f>PROGRAMADO!AA47/'Anexo '!$E$23</f>
        <v>0</v>
      </c>
      <c r="AB47" s="28">
        <f>PROGRAMADO!AB47/'Anexo '!$E$23</f>
        <v>0</v>
      </c>
      <c r="AC47" s="28">
        <f>PROGRAMADO!AC47/'Anexo '!$E$23</f>
        <v>0</v>
      </c>
      <c r="AD47" s="28">
        <f>PROGRAMADO!AD47/'Anexo '!$F$23</f>
        <v>0</v>
      </c>
      <c r="AE47" s="28">
        <f>PROGRAMADO!AE47/'Anexo '!$F$23</f>
        <v>0</v>
      </c>
      <c r="AF47" s="28">
        <f>PROGRAMADO!AF47/'Anexo '!$F$23</f>
        <v>0</v>
      </c>
      <c r="AG47" s="28">
        <f>PROGRAMADO!AG47/'Anexo '!$F$23</f>
        <v>0</v>
      </c>
      <c r="AH47" s="28">
        <f>PROGRAMADO!AH47/'Anexo '!$F$23</f>
        <v>0</v>
      </c>
      <c r="AI47" s="28">
        <f>PROGRAMADO!AI47/'Anexo '!$F$23</f>
        <v>0</v>
      </c>
      <c r="AJ47" s="28">
        <f>PROGRAMADO!AJ47/'Anexo '!$F$23</f>
        <v>0</v>
      </c>
      <c r="AK47" s="28">
        <f>PROGRAMADO!AK47/'Anexo '!$G$23</f>
        <v>0</v>
      </c>
      <c r="AL47" s="28">
        <f>PROGRAMADO!AL47/'Anexo '!$G$23</f>
        <v>0</v>
      </c>
      <c r="AM47" s="28">
        <f>PROGRAMADO!AM47/'Anexo '!$G$23</f>
        <v>0</v>
      </c>
      <c r="AN47" s="28">
        <f>PROGRAMADO!AN47/'Anexo '!$G$23</f>
        <v>0</v>
      </c>
      <c r="AO47" s="28">
        <f>PROGRAMADO!AO47/'Anexo '!$G$23</f>
        <v>0</v>
      </c>
      <c r="AP47" s="28">
        <f>PROGRAMADO!AP47/'Anexo '!$G$23</f>
        <v>0</v>
      </c>
      <c r="AQ47" s="28">
        <f>PROGRAMADO!AQ47/'Anexo '!$G$23</f>
        <v>0</v>
      </c>
      <c r="AR47" s="28">
        <f>PROGRAMADO!AR47/'Anexo '!$H$23</f>
        <v>0</v>
      </c>
      <c r="AS47" s="28">
        <f>PROGRAMADO!AS47/'Anexo '!$H$23</f>
        <v>0</v>
      </c>
      <c r="AT47" s="28">
        <f>PROGRAMADO!AT47/'Anexo '!$H$23</f>
        <v>0</v>
      </c>
      <c r="AU47" s="28">
        <f>PROGRAMADO!AU47/'Anexo '!$H$23</f>
        <v>0</v>
      </c>
      <c r="AV47" s="28">
        <f>PROGRAMADO!AV47/'Anexo '!$H$23</f>
        <v>0</v>
      </c>
      <c r="AW47" s="28">
        <f>PROGRAMADO!AW47/'Anexo '!$H$23</f>
        <v>0</v>
      </c>
      <c r="AX47" s="28">
        <f>PROGRAMADO!AX47/'Anexo '!$H$23</f>
        <v>0</v>
      </c>
      <c r="AY47" s="28">
        <f>PROGRAMADO!AY47/'Anexo '!$I$23</f>
        <v>0</v>
      </c>
      <c r="AZ47" s="28">
        <f>PROGRAMADO!AZ47/'Anexo '!$I$23</f>
        <v>0</v>
      </c>
      <c r="BA47" s="28">
        <f>PROGRAMADO!BA47/'Anexo '!$I$23</f>
        <v>0</v>
      </c>
      <c r="BB47" s="28">
        <f>PROGRAMADO!BB47/'Anexo '!$I$23</f>
        <v>0</v>
      </c>
      <c r="BC47" s="28">
        <f>PROGRAMADO!BC47/'Anexo '!$I$23</f>
        <v>0</v>
      </c>
      <c r="BD47" s="28">
        <f>PROGRAMADO!BD47/'Anexo '!$I$23</f>
        <v>0</v>
      </c>
      <c r="BE47" s="28">
        <f>PROGRAMADO!BE47/'Anexo '!$I$23</f>
        <v>0</v>
      </c>
      <c r="BF47" s="28">
        <f>PROGRAMADO!BF47/'Anexo '!$J$23</f>
        <v>0</v>
      </c>
      <c r="BG47" s="28">
        <f>PROGRAMADO!BG47/'Anexo '!$J$23</f>
        <v>0</v>
      </c>
      <c r="BH47" s="28">
        <f>PROGRAMADO!BH47/'Anexo '!$J$23</f>
        <v>0</v>
      </c>
      <c r="BI47" s="28">
        <f>PROGRAMADO!BI47/'Anexo '!$J$23</f>
        <v>0</v>
      </c>
      <c r="BJ47" s="28">
        <f>PROGRAMADO!BJ47/'Anexo '!$J$23</f>
        <v>0</v>
      </c>
      <c r="BK47" s="28">
        <f>PROGRAMADO!BK47/'Anexo '!$J$23</f>
        <v>0</v>
      </c>
      <c r="BL47" s="28">
        <f>PROGRAMADO!BL47/'Anexo '!$J$23</f>
        <v>0</v>
      </c>
      <c r="BM47" s="28">
        <f>PROGRAMADO!BM47/'Anexo '!$K$23</f>
        <v>0</v>
      </c>
      <c r="BN47" s="28">
        <f>PROGRAMADO!BN47/'Anexo '!$K$23</f>
        <v>0</v>
      </c>
      <c r="BO47" s="28">
        <f>PROGRAMADO!BO47/'Anexo '!$K$23</f>
        <v>0</v>
      </c>
      <c r="BP47" s="28">
        <f>PROGRAMADO!BP47/'Anexo '!$K$23</f>
        <v>0</v>
      </c>
      <c r="BQ47" s="28">
        <f>PROGRAMADO!BQ47/'Anexo '!$K$23</f>
        <v>0</v>
      </c>
      <c r="BR47" s="28">
        <f>PROGRAMADO!BR47/'Anexo '!$K$23</f>
        <v>0</v>
      </c>
      <c r="BS47" s="28">
        <f>PROGRAMADO!BS47/'Anexo '!$K$23</f>
        <v>0</v>
      </c>
      <c r="BT47" s="28">
        <f>PROGRAMADO!BT47/'Anexo '!$L$23</f>
        <v>0</v>
      </c>
      <c r="BU47" s="28">
        <f>PROGRAMADO!BU47/'Anexo '!$L$23</f>
        <v>0</v>
      </c>
      <c r="BV47" s="28">
        <f>PROGRAMADO!BV47/'Anexo '!$L$23</f>
        <v>0</v>
      </c>
      <c r="BW47" s="28">
        <f>PROGRAMADO!BW47/'Anexo '!$L$23</f>
        <v>0</v>
      </c>
      <c r="BX47" s="28">
        <f>PROGRAMADO!BX47/'Anexo '!$L$23</f>
        <v>0</v>
      </c>
      <c r="BY47" s="28">
        <f>PROGRAMADO!BY47/'Anexo '!$L$23</f>
        <v>0</v>
      </c>
      <c r="BZ47" s="28">
        <f>PROGRAMADO!BZ47/'Anexo '!$L$23</f>
        <v>0</v>
      </c>
      <c r="CA47" s="28">
        <f>PROGRAMADO!CA47/'Anexo '!$L$23</f>
        <v>0</v>
      </c>
      <c r="CB47" s="28">
        <f>PROGRAMADO!CB47/'Anexo '!$M$23</f>
        <v>0</v>
      </c>
      <c r="CC47" s="28">
        <f>PROGRAMADO!CC47/'Anexo '!$M$23</f>
        <v>0</v>
      </c>
      <c r="CD47" s="28">
        <f>PROGRAMADO!CD47/'Anexo '!$M$23</f>
        <v>0</v>
      </c>
      <c r="CE47" s="28">
        <f>PROGRAMADO!CE47/'Anexo '!$M$23</f>
        <v>0</v>
      </c>
      <c r="CF47" s="28">
        <f>PROGRAMADO!CF47/'Anexo '!$M$23</f>
        <v>0</v>
      </c>
      <c r="CG47" s="28">
        <f>PROGRAMADO!CG47/'Anexo '!$M$23</f>
        <v>0</v>
      </c>
      <c r="CH47" s="28">
        <f>PROGRAMADO!CH47/'Anexo '!$M$23</f>
        <v>0</v>
      </c>
      <c r="CI47" s="29">
        <f>PROGRAMADO!CI47/'Anexo '!$M$23</f>
        <v>0</v>
      </c>
    </row>
    <row r="48" spans="1:101" x14ac:dyDescent="0.25">
      <c r="A48" s="15" t="s">
        <v>39</v>
      </c>
      <c r="B48" s="27">
        <f>PROGRAMADO!B48/'Anexo '!$B$23</f>
        <v>0</v>
      </c>
      <c r="C48" s="28">
        <f>PROGRAMADO!C48/'Anexo '!$B$23</f>
        <v>0</v>
      </c>
      <c r="D48" s="28">
        <f>PROGRAMADO!D48/'Anexo '!$B$23</f>
        <v>0</v>
      </c>
      <c r="E48" s="28">
        <f>PROGRAMADO!E48/'Anexo '!$B$23</f>
        <v>0</v>
      </c>
      <c r="F48" s="28">
        <f>PROGRAMADO!F48/'Anexo '!$B$23</f>
        <v>0</v>
      </c>
      <c r="G48" s="28">
        <f>PROGRAMADO!G48/'Anexo '!$B$23</f>
        <v>0</v>
      </c>
      <c r="H48" s="28">
        <f>PROGRAMADO!H48/'Anexo '!$B$23</f>
        <v>0</v>
      </c>
      <c r="I48" s="28">
        <f>PROGRAMADO!I48/'Anexo '!$C$23</f>
        <v>0</v>
      </c>
      <c r="J48" s="28">
        <f>PROGRAMADO!J48/'Anexo '!$C$23</f>
        <v>0</v>
      </c>
      <c r="K48" s="28">
        <f>PROGRAMADO!K48/'Anexo '!$C$23</f>
        <v>0</v>
      </c>
      <c r="L48" s="28">
        <f>PROGRAMADO!L48/'Anexo '!$C$23</f>
        <v>0</v>
      </c>
      <c r="M48" s="28">
        <f>PROGRAMADO!M48/'Anexo '!$C$23</f>
        <v>0</v>
      </c>
      <c r="N48" s="28">
        <f>PROGRAMADO!N48/'Anexo '!$C$23</f>
        <v>0</v>
      </c>
      <c r="O48" s="28">
        <f>PROGRAMADO!O48/'Anexo '!$C$23</f>
        <v>0</v>
      </c>
      <c r="P48" s="28">
        <f>PROGRAMADO!P48/'Anexo '!$D$23</f>
        <v>0</v>
      </c>
      <c r="Q48" s="28">
        <f>PROGRAMADO!Q48/'Anexo '!$D$23</f>
        <v>0</v>
      </c>
      <c r="R48" s="28">
        <f>PROGRAMADO!R48/'Anexo '!$D$23</f>
        <v>0</v>
      </c>
      <c r="S48" s="28">
        <f>PROGRAMADO!S48/'Anexo '!$D$23</f>
        <v>0</v>
      </c>
      <c r="T48" s="28">
        <f>PROGRAMADO!T48/'Anexo '!$D$23</f>
        <v>0</v>
      </c>
      <c r="U48" s="28">
        <f>PROGRAMADO!U48/'Anexo '!$D$23</f>
        <v>0</v>
      </c>
      <c r="V48" s="28">
        <f>PROGRAMADO!V48/'Anexo '!$D$23</f>
        <v>0</v>
      </c>
      <c r="W48" s="28">
        <f>PROGRAMADO!W48/'Anexo '!$E$23</f>
        <v>0</v>
      </c>
      <c r="X48" s="28">
        <f>PROGRAMADO!X48/'Anexo '!$E$23</f>
        <v>0</v>
      </c>
      <c r="Y48" s="28">
        <f>PROGRAMADO!Y48/'Anexo '!$E$23</f>
        <v>0</v>
      </c>
      <c r="Z48" s="28">
        <f>PROGRAMADO!Z48/'Anexo '!$E$23</f>
        <v>0</v>
      </c>
      <c r="AA48" s="28">
        <f>PROGRAMADO!AA48/'Anexo '!$E$23</f>
        <v>253730.58512068749</v>
      </c>
      <c r="AB48" s="28">
        <f>PROGRAMADO!AB48/'Anexo '!$E$23</f>
        <v>253730.58512068749</v>
      </c>
      <c r="AC48" s="28">
        <f>PROGRAMADO!AC48/'Anexo '!$E$23</f>
        <v>253730.58512068749</v>
      </c>
      <c r="AD48" s="28">
        <f>PROGRAMADO!AD48/'Anexo '!$F$23</f>
        <v>7399544.6784291398</v>
      </c>
      <c r="AE48" s="28">
        <f>PROGRAMADO!AE48/'Anexo '!$F$23</f>
        <v>0</v>
      </c>
      <c r="AF48" s="28">
        <f>PROGRAMADO!AF48/'Anexo '!$F$23</f>
        <v>7399544.6784291398</v>
      </c>
      <c r="AG48" s="28">
        <f>PROGRAMADO!AG48/'Anexo '!$F$23</f>
        <v>0</v>
      </c>
      <c r="AH48" s="28">
        <f>PROGRAMADO!AH48/'Anexo '!$F$23</f>
        <v>473970.00569151965</v>
      </c>
      <c r="AI48" s="28">
        <f>PROGRAMADO!AI48/'Anexo '!$F$23</f>
        <v>473970.00569151965</v>
      </c>
      <c r="AJ48" s="28">
        <f>PROGRAMADO!AJ48/'Anexo '!$F$23</f>
        <v>7873514.6841206597</v>
      </c>
      <c r="AK48" s="28">
        <f>PROGRAMADO!AK48/'Anexo '!$G$23</f>
        <v>7.0043297829091804</v>
      </c>
      <c r="AL48" s="28">
        <f>PROGRAMADO!AL48/'Anexo '!$G$23</f>
        <v>0</v>
      </c>
      <c r="AM48" s="28">
        <f>PROGRAMADO!AM48/'Anexo '!$G$23</f>
        <v>7004329.78290918</v>
      </c>
      <c r="AN48" s="28">
        <f>PROGRAMADO!AN48/'Anexo '!$G$23</f>
        <v>481112.82760115998</v>
      </c>
      <c r="AO48" s="28">
        <f>PROGRAMADO!AO48/'Anexo '!$G$23</f>
        <v>258000</v>
      </c>
      <c r="AP48" s="28">
        <f>PROGRAMADO!AP48/'Anexo '!$G$23</f>
        <v>739112.82760116004</v>
      </c>
      <c r="AQ48" s="28">
        <f>PROGRAMADO!AQ48/'Anexo '!$G$23</f>
        <v>7743442.61051034</v>
      </c>
      <c r="AR48" s="28">
        <f>PROGRAMADO!AR48/'Anexo '!$H$23</f>
        <v>10987030.182893779</v>
      </c>
      <c r="AS48" s="28">
        <f>PROGRAMADO!AS48/'Anexo '!$H$23</f>
        <v>0</v>
      </c>
      <c r="AT48" s="28">
        <f>PROGRAMADO!AT48/'Anexo '!$H$23</f>
        <v>10987030.182893779</v>
      </c>
      <c r="AU48" s="28">
        <f>PROGRAMADO!AU48/'Anexo '!$H$23</f>
        <v>853726.4284866224</v>
      </c>
      <c r="AV48" s="28">
        <f>PROGRAMADO!AV48/'Anexo '!$H$23</f>
        <v>15392289.863152297</v>
      </c>
      <c r="AW48" s="28">
        <f>PROGRAMADO!AW48/'Anexo '!$H$23</f>
        <v>16246016.29163892</v>
      </c>
      <c r="AX48" s="28">
        <f>PROGRAMADO!AX48/'Anexo '!$H$23</f>
        <v>27233046.474532697</v>
      </c>
      <c r="AY48" s="28">
        <f>PROGRAMADO!AY48/'Anexo '!$I$23</f>
        <v>2704661.0365287149</v>
      </c>
      <c r="AZ48" s="28">
        <f>PROGRAMADO!AZ48/'Anexo '!$I$23</f>
        <v>0</v>
      </c>
      <c r="BA48" s="28">
        <f>PROGRAMADO!BA48/'Anexo '!$I$23</f>
        <v>2704661.0365287149</v>
      </c>
      <c r="BB48" s="28">
        <f>PROGRAMADO!BB48/'Anexo '!$I$23</f>
        <v>991173.7264598459</v>
      </c>
      <c r="BC48" s="28">
        <f>PROGRAMADO!BC48/'Anexo '!$I$23</f>
        <v>245785.99904635033</v>
      </c>
      <c r="BD48" s="28">
        <f>PROGRAMADO!BD48/'Anexo '!$I$23</f>
        <v>1236959.7255061963</v>
      </c>
      <c r="BE48" s="28">
        <f>PROGRAMADO!BE48/'Anexo '!$I$23</f>
        <v>3941620.7620349112</v>
      </c>
      <c r="BF48" s="28">
        <f>PROGRAMADO!BF48/'Anexo '!$J$23</f>
        <v>2819243.8800546909</v>
      </c>
      <c r="BG48" s="28">
        <f>PROGRAMADO!BG48/'Anexo '!$J$23</f>
        <v>0</v>
      </c>
      <c r="BH48" s="28">
        <f>PROGRAMADO!BH48/'Anexo '!$J$23</f>
        <v>2819243.8800546909</v>
      </c>
      <c r="BI48" s="28">
        <f>PROGRAMADO!BI48/'Anexo '!$J$23</f>
        <v>518100.00749189936</v>
      </c>
      <c r="BJ48" s="28">
        <f>PROGRAMADO!BJ48/'Anexo '!$J$23</f>
        <v>0</v>
      </c>
      <c r="BK48" s="28">
        <f>PROGRAMADO!BK48/'Anexo '!$J$23</f>
        <v>518100.00749189936</v>
      </c>
      <c r="BL48" s="28">
        <f>PROGRAMADO!BL48/'Anexo '!$J$23</f>
        <v>3337343.8875465901</v>
      </c>
      <c r="BM48" s="28">
        <f>PROGRAMADO!BM48/'Anexo '!$K$23</f>
        <v>6639788.2208140278</v>
      </c>
      <c r="BN48" s="28">
        <f>PROGRAMADO!BN48/'Anexo '!$K$23</f>
        <v>0</v>
      </c>
      <c r="BO48" s="28">
        <f>PROGRAMADO!BO48/'Anexo '!$K$23</f>
        <v>6639788.2208140278</v>
      </c>
      <c r="BP48" s="28">
        <f>PROGRAMADO!BP48/'Anexo '!$K$23</f>
        <v>480049.00933362474</v>
      </c>
      <c r="BQ48" s="28">
        <f>PROGRAMADO!BQ48/'Anexo '!$K$23</f>
        <v>30518671.753410365</v>
      </c>
      <c r="BR48" s="28">
        <f>PROGRAMADO!BR48/'Anexo '!$K$23</f>
        <v>30998720.762743991</v>
      </c>
      <c r="BS48" s="28">
        <f>PROGRAMADO!BS48/'Anexo '!$K$23</f>
        <v>37638508.983558014</v>
      </c>
      <c r="BT48" s="28">
        <f>PROGRAMADO!BT48/'Anexo '!$L$23</f>
        <v>257942.28618022907</v>
      </c>
      <c r="BU48" s="28">
        <f>PROGRAMADO!BU48/'Anexo '!$L$23</f>
        <v>2381107.7136074267</v>
      </c>
      <c r="BV48" s="28">
        <f>PROGRAMADO!BV48/'Anexo '!$L$23</f>
        <v>0</v>
      </c>
      <c r="BW48" s="28">
        <f>PROGRAMADO!BW48/'Anexo '!$L$23</f>
        <v>2639049.9997876561</v>
      </c>
      <c r="BX48" s="28">
        <f>PROGRAMADO!BX48/'Anexo '!$L$23</f>
        <v>242503.08960491279</v>
      </c>
      <c r="BY48" s="28">
        <f>PROGRAMADO!BY48/'Anexo '!$L$23</f>
        <v>23026263.578760505</v>
      </c>
      <c r="BZ48" s="28">
        <f>PROGRAMADO!BZ48/'Anexo '!$L$23</f>
        <v>23268766.668365419</v>
      </c>
      <c r="CA48" s="28">
        <f>PROGRAMADO!CA48/'Anexo '!$L$23</f>
        <v>25907816.668153074</v>
      </c>
      <c r="CB48" s="28">
        <f>PROGRAMADO!CB48/'Anexo '!$M$23</f>
        <v>739266.01955676521</v>
      </c>
      <c r="CC48" s="28">
        <f>PROGRAMADO!CC48/'Anexo '!$M$23</f>
        <v>1681729.0295837424</v>
      </c>
      <c r="CD48" s="28">
        <f>PROGRAMADO!CD48/'Anexo '!$M$23</f>
        <v>0</v>
      </c>
      <c r="CE48" s="28">
        <f>PROGRAMADO!CE48/'Anexo '!$M$23</f>
        <v>2420995.0491405078</v>
      </c>
      <c r="CF48" s="28">
        <f>PROGRAMADO!CF48/'Anexo '!$M$23</f>
        <v>0</v>
      </c>
      <c r="CG48" s="28">
        <f>PROGRAMADO!CG48/'Anexo '!$M$23</f>
        <v>44401318.25920251</v>
      </c>
      <c r="CH48" s="28">
        <f>PROGRAMADO!CH48/'Anexo '!$M$23</f>
        <v>44401318.25920251</v>
      </c>
      <c r="CI48" s="29">
        <f>PROGRAMADO!CI48/'Anexo '!$M$23</f>
        <v>46822313.308343016</v>
      </c>
    </row>
    <row r="49" spans="1:87" x14ac:dyDescent="0.25">
      <c r="A49" s="15" t="s">
        <v>40</v>
      </c>
      <c r="B49" s="27">
        <f>PROGRAMADO!B49/'Anexo '!$B$23</f>
        <v>0</v>
      </c>
      <c r="C49" s="28">
        <f>PROGRAMADO!C49/'Anexo '!$B$23</f>
        <v>0</v>
      </c>
      <c r="D49" s="28">
        <f>PROGRAMADO!D49/'Anexo '!$B$23</f>
        <v>0</v>
      </c>
      <c r="E49" s="28">
        <f>PROGRAMADO!E49/'Anexo '!$B$23</f>
        <v>0</v>
      </c>
      <c r="F49" s="28">
        <f>PROGRAMADO!F49/'Anexo '!$B$23</f>
        <v>0</v>
      </c>
      <c r="G49" s="28">
        <f>PROGRAMADO!G49/'Anexo '!$B$23</f>
        <v>0</v>
      </c>
      <c r="H49" s="28">
        <f>PROGRAMADO!H49/'Anexo '!$B$23</f>
        <v>0</v>
      </c>
      <c r="I49" s="28">
        <f>PROGRAMADO!I49/'Anexo '!$C$23</f>
        <v>0</v>
      </c>
      <c r="J49" s="28">
        <f>PROGRAMADO!J49/'Anexo '!$C$23</f>
        <v>0</v>
      </c>
      <c r="K49" s="28">
        <f>PROGRAMADO!K49/'Anexo '!$C$23</f>
        <v>0</v>
      </c>
      <c r="L49" s="28">
        <f>PROGRAMADO!L49/'Anexo '!$C$23</f>
        <v>0</v>
      </c>
      <c r="M49" s="28">
        <f>PROGRAMADO!M49/'Anexo '!$C$23</f>
        <v>0</v>
      </c>
      <c r="N49" s="28">
        <f>PROGRAMADO!N49/'Anexo '!$C$23</f>
        <v>0</v>
      </c>
      <c r="O49" s="28">
        <f>PROGRAMADO!O49/'Anexo '!$C$23</f>
        <v>0</v>
      </c>
      <c r="P49" s="28">
        <f>PROGRAMADO!P49/'Anexo '!$D$23</f>
        <v>0</v>
      </c>
      <c r="Q49" s="28">
        <f>PROGRAMADO!Q49/'Anexo '!$D$23</f>
        <v>0</v>
      </c>
      <c r="R49" s="28">
        <f>PROGRAMADO!R49/'Anexo '!$D$23</f>
        <v>0</v>
      </c>
      <c r="S49" s="28">
        <f>PROGRAMADO!S49/'Anexo '!$D$23</f>
        <v>0</v>
      </c>
      <c r="T49" s="28">
        <f>PROGRAMADO!T49/'Anexo '!$D$23</f>
        <v>0</v>
      </c>
      <c r="U49" s="28">
        <f>PROGRAMADO!U49/'Anexo '!$D$23</f>
        <v>0</v>
      </c>
      <c r="V49" s="28">
        <f>PROGRAMADO!V49/'Anexo '!$D$23</f>
        <v>0</v>
      </c>
      <c r="W49" s="28">
        <f>PROGRAMADO!W49/'Anexo '!$E$23</f>
        <v>0</v>
      </c>
      <c r="X49" s="28">
        <f>PROGRAMADO!X49/'Anexo '!$E$23</f>
        <v>9731015.4004290849</v>
      </c>
      <c r="Y49" s="28">
        <f>PROGRAMADO!Y49/'Anexo '!$E$23</f>
        <v>9731015.4004290849</v>
      </c>
      <c r="Z49" s="28">
        <f>PROGRAMADO!Z49/'Anexo '!$E$23</f>
        <v>0</v>
      </c>
      <c r="AA49" s="28">
        <f>PROGRAMADO!AA49/'Anexo '!$E$23</f>
        <v>0</v>
      </c>
      <c r="AB49" s="28">
        <f>PROGRAMADO!AB49/'Anexo '!$E$23</f>
        <v>0</v>
      </c>
      <c r="AC49" s="28">
        <f>PROGRAMADO!AC49/'Anexo '!$E$23</f>
        <v>9731015.4004290849</v>
      </c>
      <c r="AD49" s="28">
        <f>PROGRAMADO!AD49/'Anexo '!$F$23</f>
        <v>0</v>
      </c>
      <c r="AE49" s="28">
        <f>PROGRAMADO!AE49/'Anexo '!$F$23</f>
        <v>0</v>
      </c>
      <c r="AF49" s="28">
        <f>PROGRAMADO!AF49/'Anexo '!$F$23</f>
        <v>0</v>
      </c>
      <c r="AG49" s="28">
        <f>PROGRAMADO!AG49/'Anexo '!$F$23</f>
        <v>0</v>
      </c>
      <c r="AH49" s="28">
        <f>PROGRAMADO!AH49/'Anexo '!$F$23</f>
        <v>0</v>
      </c>
      <c r="AI49" s="28">
        <f>PROGRAMADO!AI49/'Anexo '!$F$23</f>
        <v>0</v>
      </c>
      <c r="AJ49" s="28">
        <f>PROGRAMADO!AJ49/'Anexo '!$F$23</f>
        <v>0</v>
      </c>
      <c r="AK49" s="28">
        <f>PROGRAMADO!AK49/'Anexo '!$G$23</f>
        <v>0</v>
      </c>
      <c r="AL49" s="28">
        <f>PROGRAMADO!AL49/'Anexo '!$G$23</f>
        <v>0</v>
      </c>
      <c r="AM49" s="28">
        <f>PROGRAMADO!AM49/'Anexo '!$G$23</f>
        <v>0</v>
      </c>
      <c r="AN49" s="28">
        <f>PROGRAMADO!AN49/'Anexo '!$G$23</f>
        <v>0</v>
      </c>
      <c r="AO49" s="28">
        <f>PROGRAMADO!AO49/'Anexo '!$G$23</f>
        <v>0</v>
      </c>
      <c r="AP49" s="28">
        <f>PROGRAMADO!AP49/'Anexo '!$G$23</f>
        <v>0</v>
      </c>
      <c r="AQ49" s="28">
        <f>PROGRAMADO!AQ49/'Anexo '!$G$23</f>
        <v>0</v>
      </c>
      <c r="AR49" s="28">
        <f>PROGRAMADO!AR49/'Anexo '!$H$23</f>
        <v>0</v>
      </c>
      <c r="AS49" s="28">
        <f>PROGRAMADO!AS49/'Anexo '!$H$23</f>
        <v>0</v>
      </c>
      <c r="AT49" s="28">
        <f>PROGRAMADO!AT49/'Anexo '!$H$23</f>
        <v>0</v>
      </c>
      <c r="AU49" s="28">
        <f>PROGRAMADO!AU49/'Anexo '!$H$23</f>
        <v>0</v>
      </c>
      <c r="AV49" s="28">
        <f>PROGRAMADO!AV49/'Anexo '!$H$23</f>
        <v>0</v>
      </c>
      <c r="AW49" s="28">
        <f>PROGRAMADO!AW49/'Anexo '!$H$23</f>
        <v>0</v>
      </c>
      <c r="AX49" s="28">
        <f>PROGRAMADO!AX49/'Anexo '!$H$23</f>
        <v>0</v>
      </c>
      <c r="AY49" s="28">
        <f>PROGRAMADO!AY49/'Anexo '!$I$23</f>
        <v>0</v>
      </c>
      <c r="AZ49" s="28">
        <f>PROGRAMADO!AZ49/'Anexo '!$I$23</f>
        <v>0</v>
      </c>
      <c r="BA49" s="28">
        <f>PROGRAMADO!BA49/'Anexo '!$I$23</f>
        <v>0</v>
      </c>
      <c r="BB49" s="28">
        <f>PROGRAMADO!BB49/'Anexo '!$I$23</f>
        <v>0</v>
      </c>
      <c r="BC49" s="28">
        <f>PROGRAMADO!BC49/'Anexo '!$I$23</f>
        <v>0</v>
      </c>
      <c r="BD49" s="28">
        <f>PROGRAMADO!BD49/'Anexo '!$I$23</f>
        <v>0</v>
      </c>
      <c r="BE49" s="28">
        <f>PROGRAMADO!BE49/'Anexo '!$I$23</f>
        <v>0</v>
      </c>
      <c r="BF49" s="28">
        <f>PROGRAMADO!BF49/'Anexo '!$J$23</f>
        <v>0</v>
      </c>
      <c r="BG49" s="28">
        <f>PROGRAMADO!BG49/'Anexo '!$J$23</f>
        <v>0</v>
      </c>
      <c r="BH49" s="28">
        <f>PROGRAMADO!BH49/'Anexo '!$J$23</f>
        <v>0</v>
      </c>
      <c r="BI49" s="28">
        <f>PROGRAMADO!BI49/'Anexo '!$J$23</f>
        <v>0</v>
      </c>
      <c r="BJ49" s="28">
        <f>PROGRAMADO!BJ49/'Anexo '!$J$23</f>
        <v>0</v>
      </c>
      <c r="BK49" s="28">
        <f>PROGRAMADO!BK49/'Anexo '!$J$23</f>
        <v>0</v>
      </c>
      <c r="BL49" s="28">
        <f>PROGRAMADO!BL49/'Anexo '!$J$23</f>
        <v>0</v>
      </c>
      <c r="BM49" s="28">
        <f>PROGRAMADO!BM49/'Anexo '!$K$23</f>
        <v>0</v>
      </c>
      <c r="BN49" s="28">
        <f>PROGRAMADO!BN49/'Anexo '!$K$23</f>
        <v>0</v>
      </c>
      <c r="BO49" s="28">
        <f>PROGRAMADO!BO49/'Anexo '!$K$23</f>
        <v>0</v>
      </c>
      <c r="BP49" s="28">
        <f>PROGRAMADO!BP49/'Anexo '!$K$23</f>
        <v>0</v>
      </c>
      <c r="BQ49" s="28">
        <f>PROGRAMADO!BQ49/'Anexo '!$K$23</f>
        <v>0</v>
      </c>
      <c r="BR49" s="28">
        <f>PROGRAMADO!BR49/'Anexo '!$K$23</f>
        <v>0</v>
      </c>
      <c r="BS49" s="28">
        <f>PROGRAMADO!BS49/'Anexo '!$K$23</f>
        <v>0</v>
      </c>
      <c r="BT49" s="28">
        <f>PROGRAMADO!BT49/'Anexo '!$L$23</f>
        <v>0</v>
      </c>
      <c r="BU49" s="28">
        <f>PROGRAMADO!BU49/'Anexo '!$L$23</f>
        <v>0</v>
      </c>
      <c r="BV49" s="28">
        <f>PROGRAMADO!BV49/'Anexo '!$L$23</f>
        <v>0</v>
      </c>
      <c r="BW49" s="28">
        <f>PROGRAMADO!BW49/'Anexo '!$L$23</f>
        <v>0</v>
      </c>
      <c r="BX49" s="28">
        <f>PROGRAMADO!BX49/'Anexo '!$L$23</f>
        <v>0</v>
      </c>
      <c r="BY49" s="28">
        <f>PROGRAMADO!BY49/'Anexo '!$L$23</f>
        <v>0</v>
      </c>
      <c r="BZ49" s="28">
        <f>PROGRAMADO!BZ49/'Anexo '!$L$23</f>
        <v>0</v>
      </c>
      <c r="CA49" s="28">
        <f>PROGRAMADO!CA49/'Anexo '!$L$23</f>
        <v>0</v>
      </c>
      <c r="CB49" s="28">
        <f>PROGRAMADO!CB49/'Anexo '!$M$23</f>
        <v>0</v>
      </c>
      <c r="CC49" s="28">
        <f>PROGRAMADO!CC49/'Anexo '!$M$23</f>
        <v>0</v>
      </c>
      <c r="CD49" s="28">
        <f>PROGRAMADO!CD49/'Anexo '!$M$23</f>
        <v>0</v>
      </c>
      <c r="CE49" s="28">
        <f>PROGRAMADO!CE49/'Anexo '!$M$23</f>
        <v>0</v>
      </c>
      <c r="CF49" s="28">
        <f>PROGRAMADO!CF49/'Anexo '!$M$23</f>
        <v>0</v>
      </c>
      <c r="CG49" s="28">
        <f>PROGRAMADO!CG49/'Anexo '!$M$23</f>
        <v>0</v>
      </c>
      <c r="CH49" s="28">
        <f>PROGRAMADO!CH49/'Anexo '!$M$23</f>
        <v>0</v>
      </c>
      <c r="CI49" s="29">
        <f>PROGRAMADO!CI49/'Anexo '!$M$23</f>
        <v>0</v>
      </c>
    </row>
    <row r="50" spans="1:87" x14ac:dyDescent="0.25">
      <c r="A50" s="15" t="s">
        <v>77</v>
      </c>
      <c r="B50" s="27">
        <f>PROGRAMADO!B50/'Anexo '!$B$23</f>
        <v>0</v>
      </c>
      <c r="C50" s="28">
        <f>PROGRAMADO!C50/'Anexo '!$B$23</f>
        <v>0</v>
      </c>
      <c r="D50" s="28">
        <f>PROGRAMADO!D50/'Anexo '!$B$23</f>
        <v>0</v>
      </c>
      <c r="E50" s="28">
        <f>PROGRAMADO!E50/'Anexo '!$B$23</f>
        <v>0</v>
      </c>
      <c r="F50" s="28">
        <f>PROGRAMADO!F50/'Anexo '!$B$23</f>
        <v>0</v>
      </c>
      <c r="G50" s="28">
        <f>PROGRAMADO!G50/'Anexo '!$B$23</f>
        <v>0</v>
      </c>
      <c r="H50" s="28">
        <f>PROGRAMADO!H50/'Anexo '!$B$23</f>
        <v>0</v>
      </c>
      <c r="I50" s="28">
        <f>PROGRAMADO!I50/'Anexo '!$C$23</f>
        <v>0</v>
      </c>
      <c r="J50" s="28">
        <f>PROGRAMADO!J50/'Anexo '!$C$23</f>
        <v>0</v>
      </c>
      <c r="K50" s="28">
        <f>PROGRAMADO!K50/'Anexo '!$C$23</f>
        <v>0</v>
      </c>
      <c r="L50" s="28">
        <f>PROGRAMADO!L50/'Anexo '!$C$23</f>
        <v>0</v>
      </c>
      <c r="M50" s="28">
        <f>PROGRAMADO!M50/'Anexo '!$C$23</f>
        <v>0</v>
      </c>
      <c r="N50" s="28">
        <f>PROGRAMADO!N50/'Anexo '!$C$23</f>
        <v>0</v>
      </c>
      <c r="O50" s="28">
        <f>PROGRAMADO!O50/'Anexo '!$C$23</f>
        <v>0</v>
      </c>
      <c r="P50" s="28">
        <f>PROGRAMADO!P50/'Anexo '!$D$23</f>
        <v>0</v>
      </c>
      <c r="Q50" s="28">
        <f>PROGRAMADO!Q50/'Anexo '!$D$23</f>
        <v>0</v>
      </c>
      <c r="R50" s="28">
        <f>PROGRAMADO!R50/'Anexo '!$D$23</f>
        <v>0</v>
      </c>
      <c r="S50" s="28">
        <f>PROGRAMADO!S50/'Anexo '!$D$23</f>
        <v>0</v>
      </c>
      <c r="T50" s="28">
        <f>PROGRAMADO!T50/'Anexo '!$D$23</f>
        <v>0</v>
      </c>
      <c r="U50" s="28">
        <f>PROGRAMADO!U50/'Anexo '!$D$23</f>
        <v>0</v>
      </c>
      <c r="V50" s="28">
        <f>PROGRAMADO!V50/'Anexo '!$D$23</f>
        <v>0</v>
      </c>
      <c r="W50" s="28">
        <f>PROGRAMADO!W50/'Anexo '!$E$23</f>
        <v>0</v>
      </c>
      <c r="X50" s="28">
        <f>PROGRAMADO!X50/'Anexo '!$E$23</f>
        <v>134417.59844143115</v>
      </c>
      <c r="Y50" s="28">
        <f>PROGRAMADO!Y50/'Anexo '!$E$23</f>
        <v>134417.59844143115</v>
      </c>
      <c r="Z50" s="28">
        <f>PROGRAMADO!Z50/'Anexo '!$E$23</f>
        <v>131474.36548678385</v>
      </c>
      <c r="AA50" s="28">
        <f>PROGRAMADO!AA50/'Anexo '!$E$23</f>
        <v>0</v>
      </c>
      <c r="AB50" s="28">
        <f>PROGRAMADO!AB50/'Anexo '!$E$23</f>
        <v>131474.36548678385</v>
      </c>
      <c r="AC50" s="28">
        <f>PROGRAMADO!AC50/'Anexo '!$E$23</f>
        <v>265891.96392821497</v>
      </c>
      <c r="AD50" s="28">
        <f>PROGRAMADO!AD50/'Anexo '!$F$23</f>
        <v>0</v>
      </c>
      <c r="AE50" s="28">
        <f>PROGRAMADO!AE50/'Anexo '!$F$23</f>
        <v>91178.144564598741</v>
      </c>
      <c r="AF50" s="28">
        <f>PROGRAMADO!AF50/'Anexo '!$F$23</f>
        <v>91178.144564598741</v>
      </c>
      <c r="AG50" s="28">
        <f>PROGRAMADO!AG50/'Anexo '!$F$23</f>
        <v>488875.24188958452</v>
      </c>
      <c r="AH50" s="28">
        <f>PROGRAMADO!AH50/'Anexo '!$F$23</f>
        <v>1641795.6744450768</v>
      </c>
      <c r="AI50" s="28">
        <f>PROGRAMADO!AI50/'Anexo '!$F$23</f>
        <v>2130670.9163346612</v>
      </c>
      <c r="AJ50" s="28">
        <f>PROGRAMADO!AJ50/'Anexo '!$F$23</f>
        <v>2221849.06089926</v>
      </c>
      <c r="AK50" s="28">
        <f>PROGRAMADO!AK50/'Anexo '!$G$23</f>
        <v>0</v>
      </c>
      <c r="AL50" s="28">
        <f>PROGRAMADO!AL50/'Anexo '!$G$23</f>
        <v>58754.532888852758</v>
      </c>
      <c r="AM50" s="28">
        <f>PROGRAMADO!AM50/'Anexo '!$G$23</f>
        <v>58754.532888852758</v>
      </c>
      <c r="AN50" s="28">
        <f>PROGRAMADO!AN50/'Anexo '!$G$23</f>
        <v>525230.23552050302</v>
      </c>
      <c r="AO50" s="28">
        <f>PROGRAMADO!AO50/'Anexo '!$G$23</f>
        <v>1027017.2100712796</v>
      </c>
      <c r="AP50" s="28">
        <f>PROGRAMADO!AP50/'Anexo '!$G$23</f>
        <v>1552247.4455917827</v>
      </c>
      <c r="AQ50" s="28">
        <f>PROGRAMADO!AQ50/'Anexo '!$G$23</f>
        <v>1611001.9784806354</v>
      </c>
      <c r="AR50" s="28">
        <f>PROGRAMADO!AR50/'Anexo '!$H$23</f>
        <v>0</v>
      </c>
      <c r="AS50" s="28">
        <f>PROGRAMADO!AS50/'Anexo '!$H$23</f>
        <v>1199.7274402614096</v>
      </c>
      <c r="AT50" s="28">
        <f>PROGRAMADO!AT50/'Anexo '!$H$23</f>
        <v>1199.7274402614096</v>
      </c>
      <c r="AU50" s="28">
        <f>PROGRAMADO!AU50/'Anexo '!$H$23</f>
        <v>773217.08247513149</v>
      </c>
      <c r="AV50" s="28">
        <f>PROGRAMADO!AV50/'Anexo '!$H$23</f>
        <v>161737.46509118879</v>
      </c>
      <c r="AW50" s="28">
        <f>PROGRAMADO!AW50/'Anexo '!$H$23</f>
        <v>934954.54756632028</v>
      </c>
      <c r="AX50" s="28">
        <f>PROGRAMADO!AX50/'Anexo '!$H$23</f>
        <v>936154.27500658168</v>
      </c>
      <c r="AY50" s="28">
        <f>PROGRAMADO!AY50/'Anexo '!$I$23</f>
        <v>0</v>
      </c>
      <c r="AZ50" s="28">
        <f>PROGRAMADO!AZ50/'Anexo '!$I$23</f>
        <v>156275.75222805009</v>
      </c>
      <c r="BA50" s="28">
        <f>PROGRAMADO!BA50/'Anexo '!$I$23</f>
        <v>156275.75222805009</v>
      </c>
      <c r="BB50" s="28">
        <f>PROGRAMADO!BB50/'Anexo '!$I$23</f>
        <v>161322.62361806823</v>
      </c>
      <c r="BC50" s="28">
        <f>PROGRAMADO!BC50/'Anexo '!$I$23</f>
        <v>222485.48633675632</v>
      </c>
      <c r="BD50" s="28">
        <f>PROGRAMADO!BD50/'Anexo '!$I$23</f>
        <v>383808.10995482455</v>
      </c>
      <c r="BE50" s="28">
        <f>PROGRAMADO!BE50/'Anexo '!$I$23</f>
        <v>540083.86218287458</v>
      </c>
      <c r="BF50" s="28">
        <f>PROGRAMADO!BF50/'Anexo '!$J$23</f>
        <v>0</v>
      </c>
      <c r="BG50" s="28">
        <f>PROGRAMADO!BG50/'Anexo '!$J$23</f>
        <v>0</v>
      </c>
      <c r="BH50" s="28">
        <f>PROGRAMADO!BH50/'Anexo '!$J$23</f>
        <v>0</v>
      </c>
      <c r="BI50" s="28">
        <f>PROGRAMADO!BI50/'Anexo '!$J$23</f>
        <v>0</v>
      </c>
      <c r="BJ50" s="28">
        <f>PROGRAMADO!BJ50/'Anexo '!$J$23</f>
        <v>191389.37274072409</v>
      </c>
      <c r="BK50" s="28">
        <f>PROGRAMADO!BK50/'Anexo '!$J$23</f>
        <v>191389.37274072409</v>
      </c>
      <c r="BL50" s="28">
        <f>PROGRAMADO!BL50/'Anexo '!$J$23</f>
        <v>191389.37274072409</v>
      </c>
      <c r="BM50" s="28">
        <f>PROGRAMADO!BM50/'Anexo '!$K$23</f>
        <v>0</v>
      </c>
      <c r="BN50" s="28">
        <f>PROGRAMADO!BN50/'Anexo '!$K$23</f>
        <v>0</v>
      </c>
      <c r="BO50" s="28">
        <f>PROGRAMADO!BO50/'Anexo '!$K$23</f>
        <v>0</v>
      </c>
      <c r="BP50" s="28">
        <f>PROGRAMADO!BP50/'Anexo '!$K$23</f>
        <v>0</v>
      </c>
      <c r="BQ50" s="28">
        <f>PROGRAMADO!BQ50/'Anexo '!$K$23</f>
        <v>351179.92534884036</v>
      </c>
      <c r="BR50" s="28">
        <f>PROGRAMADO!BR50/'Anexo '!$K$23</f>
        <v>351179.92534884036</v>
      </c>
      <c r="BS50" s="28">
        <f>PROGRAMADO!BS50/'Anexo '!$K$23</f>
        <v>351179.92534884036</v>
      </c>
      <c r="BT50" s="28">
        <f>PROGRAMADO!BT50/'Anexo '!$L$23</f>
        <v>0</v>
      </c>
      <c r="BU50" s="28">
        <f>PROGRAMADO!BU50/'Anexo '!$L$23</f>
        <v>56241.426611796982</v>
      </c>
      <c r="BV50" s="28">
        <f>PROGRAMADO!BV50/'Anexo '!$L$23</f>
        <v>0</v>
      </c>
      <c r="BW50" s="28">
        <f>PROGRAMADO!BW50/'Anexo '!$L$23</f>
        <v>56241.426611796982</v>
      </c>
      <c r="BX50" s="28">
        <f>PROGRAMADO!BX50/'Anexo '!$L$23</f>
        <v>0</v>
      </c>
      <c r="BY50" s="28">
        <f>PROGRAMADO!BY50/'Anexo '!$L$23</f>
        <v>532152.95561586122</v>
      </c>
      <c r="BZ50" s="28">
        <f>PROGRAMADO!BZ50/'Anexo '!$L$23</f>
        <v>532152.95561586122</v>
      </c>
      <c r="CA50" s="28">
        <f>PROGRAMADO!CA50/'Anexo '!$L$23</f>
        <v>588394.38222765818</v>
      </c>
      <c r="CB50" s="28">
        <f>PROGRAMADO!CB50/'Anexo '!$M$23</f>
        <v>0</v>
      </c>
      <c r="CC50" s="28">
        <f>PROGRAMADO!CC50/'Anexo '!$M$23</f>
        <v>13677.350879609059</v>
      </c>
      <c r="CD50" s="28">
        <f>PROGRAMADO!CD50/'Anexo '!$M$23</f>
        <v>0</v>
      </c>
      <c r="CE50" s="28">
        <f>PROGRAMADO!CE50/'Anexo '!$M$23</f>
        <v>13677.350879609059</v>
      </c>
      <c r="CF50" s="28">
        <f>PROGRAMADO!CF50/'Anexo '!$M$23</f>
        <v>76991.372731819967</v>
      </c>
      <c r="CG50" s="28">
        <f>PROGRAMADO!CG50/'Anexo '!$M$23</f>
        <v>0</v>
      </c>
      <c r="CH50" s="28">
        <f>PROGRAMADO!CH50/'Anexo '!$M$23</f>
        <v>76991.372731819967</v>
      </c>
      <c r="CI50" s="29">
        <f>PROGRAMADO!CI50/'Anexo '!$M$23</f>
        <v>90668.723611429028</v>
      </c>
    </row>
    <row r="51" spans="1:87" x14ac:dyDescent="0.25">
      <c r="A51" s="15" t="s">
        <v>41</v>
      </c>
      <c r="B51" s="27">
        <f>PROGRAMADO!B51/'Anexo '!$B$23</f>
        <v>0</v>
      </c>
      <c r="C51" s="28">
        <f>PROGRAMADO!C51/'Anexo '!$B$23</f>
        <v>0</v>
      </c>
      <c r="D51" s="28">
        <f>PROGRAMADO!D51/'Anexo '!$B$23</f>
        <v>0</v>
      </c>
      <c r="E51" s="28">
        <f>PROGRAMADO!E51/'Anexo '!$B$23</f>
        <v>0</v>
      </c>
      <c r="F51" s="28">
        <f>PROGRAMADO!F51/'Anexo '!$B$23</f>
        <v>0</v>
      </c>
      <c r="G51" s="28">
        <f>PROGRAMADO!G51/'Anexo '!$B$23</f>
        <v>0</v>
      </c>
      <c r="H51" s="28">
        <f>PROGRAMADO!H51/'Anexo '!$B$23</f>
        <v>0</v>
      </c>
      <c r="I51" s="28">
        <f>PROGRAMADO!I51/'Anexo '!$C$23</f>
        <v>0</v>
      </c>
      <c r="J51" s="28">
        <f>PROGRAMADO!J51/'Anexo '!$C$23</f>
        <v>0</v>
      </c>
      <c r="K51" s="28">
        <f>PROGRAMADO!K51/'Anexo '!$C$23</f>
        <v>0</v>
      </c>
      <c r="L51" s="28">
        <f>PROGRAMADO!L51/'Anexo '!$C$23</f>
        <v>0</v>
      </c>
      <c r="M51" s="28">
        <f>PROGRAMADO!M51/'Anexo '!$C$23</f>
        <v>0</v>
      </c>
      <c r="N51" s="28">
        <f>PROGRAMADO!N51/'Anexo '!$C$23</f>
        <v>0</v>
      </c>
      <c r="O51" s="28">
        <f>PROGRAMADO!O51/'Anexo '!$C$23</f>
        <v>0</v>
      </c>
      <c r="P51" s="28">
        <f>PROGRAMADO!P51/'Anexo '!$D$23</f>
        <v>0</v>
      </c>
      <c r="Q51" s="28">
        <f>PROGRAMADO!Q51/'Anexo '!$D$23</f>
        <v>0</v>
      </c>
      <c r="R51" s="28">
        <f>PROGRAMADO!R51/'Anexo '!$D$23</f>
        <v>0</v>
      </c>
      <c r="S51" s="28">
        <f>PROGRAMADO!S51/'Anexo '!$D$23</f>
        <v>0</v>
      </c>
      <c r="T51" s="28">
        <f>PROGRAMADO!T51/'Anexo '!$D$23</f>
        <v>0</v>
      </c>
      <c r="U51" s="28">
        <f>PROGRAMADO!U51/'Anexo '!$D$23</f>
        <v>0</v>
      </c>
      <c r="V51" s="28">
        <f>PROGRAMADO!V51/'Anexo '!$D$23</f>
        <v>0</v>
      </c>
      <c r="W51" s="28">
        <f>PROGRAMADO!W51/'Anexo '!$E$23</f>
        <v>0</v>
      </c>
      <c r="X51" s="28">
        <f>PROGRAMADO!X51/'Anexo '!$E$23</f>
        <v>163376.7995553776</v>
      </c>
      <c r="Y51" s="28">
        <f>PROGRAMADO!Y51/'Anexo '!$E$23</f>
        <v>163376.7995553776</v>
      </c>
      <c r="Z51" s="28">
        <f>PROGRAMADO!Z51/'Anexo '!$E$23</f>
        <v>0</v>
      </c>
      <c r="AA51" s="28">
        <f>PROGRAMADO!AA51/'Anexo '!$E$23</f>
        <v>1234066.2033191302</v>
      </c>
      <c r="AB51" s="28">
        <f>PROGRAMADO!AB51/'Anexo '!$E$23</f>
        <v>1234066.2033191302</v>
      </c>
      <c r="AC51" s="28">
        <f>PROGRAMADO!AC51/'Anexo '!$E$23</f>
        <v>1397443.0028745078</v>
      </c>
      <c r="AD51" s="28">
        <f>PROGRAMADO!AD51/'Anexo '!$F$23</f>
        <v>0</v>
      </c>
      <c r="AE51" s="28">
        <f>PROGRAMADO!AE51/'Anexo '!$F$23</f>
        <v>131986.34035287422</v>
      </c>
      <c r="AF51" s="28">
        <f>PROGRAMADO!AF51/'Anexo '!$F$23</f>
        <v>131986.34035287422</v>
      </c>
      <c r="AG51" s="28">
        <f>PROGRAMADO!AG51/'Anexo '!$F$23</f>
        <v>0</v>
      </c>
      <c r="AH51" s="28">
        <f>PROGRAMADO!AH51/'Anexo '!$F$23</f>
        <v>2037848.6055776891</v>
      </c>
      <c r="AI51" s="28">
        <f>PROGRAMADO!AI51/'Anexo '!$F$23</f>
        <v>2037848.6055776891</v>
      </c>
      <c r="AJ51" s="28">
        <f>PROGRAMADO!AJ51/'Anexo '!$F$23</f>
        <v>2169834.9459305634</v>
      </c>
      <c r="AK51" s="28">
        <f>PROGRAMADO!AK51/'Anexo '!$G$23</f>
        <v>0</v>
      </c>
      <c r="AL51" s="28">
        <f>PROGRAMADO!AL51/'Anexo '!$G$23</f>
        <v>112854.595224544</v>
      </c>
      <c r="AM51" s="28">
        <f>PROGRAMADO!AM51/'Anexo '!$G$23</f>
        <v>112854.595224544</v>
      </c>
      <c r="AN51" s="28">
        <f>PROGRAMADO!AN51/'Anexo '!$G$23</f>
        <v>0</v>
      </c>
      <c r="AO51" s="28">
        <f>PROGRAMADO!AO51/'Anexo '!$G$23</f>
        <v>2023850.1233162589</v>
      </c>
      <c r="AP51" s="28">
        <f>PROGRAMADO!AP51/'Anexo '!$G$23</f>
        <v>2023850.1233162589</v>
      </c>
      <c r="AQ51" s="28">
        <f>PROGRAMADO!AQ51/'Anexo '!$G$23</f>
        <v>2136704.7185408031</v>
      </c>
      <c r="AR51" s="28">
        <f>PROGRAMADO!AR51/'Anexo '!$H$23</f>
        <v>0</v>
      </c>
      <c r="AS51" s="28">
        <f>PROGRAMADO!AS51/'Anexo '!$H$23</f>
        <v>130859.59559981209</v>
      </c>
      <c r="AT51" s="28">
        <f>PROGRAMADO!AT51/'Anexo '!$H$23</f>
        <v>130859.59559981209</v>
      </c>
      <c r="AU51" s="28">
        <f>PROGRAMADO!AU51/'Anexo '!$H$23</f>
        <v>0</v>
      </c>
      <c r="AV51" s="28">
        <f>PROGRAMADO!AV51/'Anexo '!$H$23</f>
        <v>500467.06827931176</v>
      </c>
      <c r="AW51" s="28">
        <f>PROGRAMADO!AW51/'Anexo '!$H$23</f>
        <v>500467.06827931176</v>
      </c>
      <c r="AX51" s="28">
        <f>PROGRAMADO!AX51/'Anexo '!$H$23</f>
        <v>631326.66387912387</v>
      </c>
      <c r="AY51" s="28">
        <f>PROGRAMADO!AY51/'Anexo '!$I$23</f>
        <v>0</v>
      </c>
      <c r="AZ51" s="28">
        <f>PROGRAMADO!AZ51/'Anexo '!$I$23</f>
        <v>170919.58373683202</v>
      </c>
      <c r="BA51" s="28">
        <f>PROGRAMADO!BA51/'Anexo '!$I$23</f>
        <v>170919.58373683202</v>
      </c>
      <c r="BB51" s="28">
        <f>PROGRAMADO!BB51/'Anexo '!$I$23</f>
        <v>0</v>
      </c>
      <c r="BC51" s="28">
        <f>PROGRAMADO!BC51/'Anexo '!$I$23</f>
        <v>1313829.2967079424</v>
      </c>
      <c r="BD51" s="28">
        <f>PROGRAMADO!BD51/'Anexo '!$I$23</f>
        <v>1313829.2967079424</v>
      </c>
      <c r="BE51" s="28">
        <f>PROGRAMADO!BE51/'Anexo '!$I$23</f>
        <v>1484748.8804447744</v>
      </c>
      <c r="BF51" s="28">
        <f>PROGRAMADO!BF51/'Anexo '!$J$23</f>
        <v>0</v>
      </c>
      <c r="BG51" s="28">
        <f>PROGRAMADO!BG51/'Anexo '!$J$23</f>
        <v>105214.36197111872</v>
      </c>
      <c r="BH51" s="28">
        <f>PROGRAMADO!BH51/'Anexo '!$J$23</f>
        <v>105214.36197111872</v>
      </c>
      <c r="BI51" s="28">
        <f>PROGRAMADO!BI51/'Anexo '!$J$23</f>
        <v>0</v>
      </c>
      <c r="BJ51" s="28">
        <f>PROGRAMADO!BJ51/'Anexo '!$J$23</f>
        <v>1782135.5659193497</v>
      </c>
      <c r="BK51" s="28">
        <f>PROGRAMADO!BK51/'Anexo '!$J$23</f>
        <v>1782135.5659193497</v>
      </c>
      <c r="BL51" s="28">
        <f>PROGRAMADO!BL51/'Anexo '!$J$23</f>
        <v>1887349.9278904684</v>
      </c>
      <c r="BM51" s="28">
        <f>PROGRAMADO!BM51/'Anexo '!$K$23</f>
        <v>0</v>
      </c>
      <c r="BN51" s="28">
        <f>PROGRAMADO!BN51/'Anexo '!$K$23</f>
        <v>0</v>
      </c>
      <c r="BO51" s="28">
        <f>PROGRAMADO!BO51/'Anexo '!$K$23</f>
        <v>0</v>
      </c>
      <c r="BP51" s="28">
        <f>PROGRAMADO!BP51/'Anexo '!$K$23</f>
        <v>0</v>
      </c>
      <c r="BQ51" s="28">
        <f>PROGRAMADO!BQ51/'Anexo '!$K$23</f>
        <v>0</v>
      </c>
      <c r="BR51" s="28">
        <f>PROGRAMADO!BR51/'Anexo '!$K$23</f>
        <v>0</v>
      </c>
      <c r="BS51" s="28">
        <f>PROGRAMADO!BS51/'Anexo '!$K$23</f>
        <v>0</v>
      </c>
      <c r="BT51" s="28">
        <f>PROGRAMADO!BT51/'Anexo '!$L$23</f>
        <v>0</v>
      </c>
      <c r="BU51" s="28">
        <f>PROGRAMADO!BU51/'Anexo '!$L$23</f>
        <v>0</v>
      </c>
      <c r="BV51" s="28">
        <f>PROGRAMADO!BV51/'Anexo '!$L$23</f>
        <v>0</v>
      </c>
      <c r="BW51" s="28">
        <f>PROGRAMADO!BW51/'Anexo '!$L$23</f>
        <v>0</v>
      </c>
      <c r="BX51" s="28">
        <f>PROGRAMADO!BX51/'Anexo '!$L$23</f>
        <v>0</v>
      </c>
      <c r="BY51" s="28">
        <f>PROGRAMADO!BY51/'Anexo '!$L$23</f>
        <v>0</v>
      </c>
      <c r="BZ51" s="28">
        <f>PROGRAMADO!BZ51/'Anexo '!$L$23</f>
        <v>0</v>
      </c>
      <c r="CA51" s="28">
        <f>PROGRAMADO!CA51/'Anexo '!$L$23</f>
        <v>0</v>
      </c>
      <c r="CB51" s="28">
        <f>PROGRAMADO!CB51/'Anexo '!$M$23</f>
        <v>0</v>
      </c>
      <c r="CC51" s="28">
        <f>PROGRAMADO!CC51/'Anexo '!$M$23</f>
        <v>0</v>
      </c>
      <c r="CD51" s="28">
        <f>PROGRAMADO!CD51/'Anexo '!$M$23</f>
        <v>0</v>
      </c>
      <c r="CE51" s="28">
        <f>PROGRAMADO!CE51/'Anexo '!$M$23</f>
        <v>0</v>
      </c>
      <c r="CF51" s="28">
        <f>PROGRAMADO!CF51/'Anexo '!$M$23</f>
        <v>0</v>
      </c>
      <c r="CG51" s="28">
        <f>PROGRAMADO!CG51/'Anexo '!$M$23</f>
        <v>0</v>
      </c>
      <c r="CH51" s="28">
        <f>PROGRAMADO!CH51/'Anexo '!$M$23</f>
        <v>0</v>
      </c>
      <c r="CI51" s="29">
        <f>PROGRAMADO!CI51/'Anexo '!$M$23</f>
        <v>0</v>
      </c>
    </row>
    <row r="52" spans="1:87" x14ac:dyDescent="0.25">
      <c r="A52" s="15" t="s">
        <v>42</v>
      </c>
      <c r="B52" s="27">
        <f>PROGRAMADO!B52/'Anexo '!$B$23</f>
        <v>0</v>
      </c>
      <c r="C52" s="28">
        <f>PROGRAMADO!C52/'Anexo '!$B$23</f>
        <v>0</v>
      </c>
      <c r="D52" s="28">
        <f>PROGRAMADO!D52/'Anexo '!$B$23</f>
        <v>0</v>
      </c>
      <c r="E52" s="28">
        <f>PROGRAMADO!E52/'Anexo '!$B$23</f>
        <v>0</v>
      </c>
      <c r="F52" s="28">
        <f>PROGRAMADO!F52/'Anexo '!$B$23</f>
        <v>0</v>
      </c>
      <c r="G52" s="28">
        <f>PROGRAMADO!G52/'Anexo '!$B$23</f>
        <v>0</v>
      </c>
      <c r="H52" s="28">
        <f>PROGRAMADO!H52/'Anexo '!$B$23</f>
        <v>0</v>
      </c>
      <c r="I52" s="28">
        <f>PROGRAMADO!I52/'Anexo '!$C$23</f>
        <v>0</v>
      </c>
      <c r="J52" s="28">
        <f>PROGRAMADO!J52/'Anexo '!$C$23</f>
        <v>0</v>
      </c>
      <c r="K52" s="28">
        <f>PROGRAMADO!K52/'Anexo '!$C$23</f>
        <v>0</v>
      </c>
      <c r="L52" s="28">
        <f>PROGRAMADO!L52/'Anexo '!$C$23</f>
        <v>0</v>
      </c>
      <c r="M52" s="28">
        <f>PROGRAMADO!M52/'Anexo '!$C$23</f>
        <v>0</v>
      </c>
      <c r="N52" s="28">
        <f>PROGRAMADO!N52/'Anexo '!$C$23</f>
        <v>0</v>
      </c>
      <c r="O52" s="28">
        <f>PROGRAMADO!O52/'Anexo '!$C$23</f>
        <v>0</v>
      </c>
      <c r="P52" s="28">
        <f>PROGRAMADO!P52/'Anexo '!$D$23</f>
        <v>0</v>
      </c>
      <c r="Q52" s="28">
        <f>PROGRAMADO!Q52/'Anexo '!$D$23</f>
        <v>0</v>
      </c>
      <c r="R52" s="28">
        <f>PROGRAMADO!R52/'Anexo '!$D$23</f>
        <v>0</v>
      </c>
      <c r="S52" s="28">
        <f>PROGRAMADO!S52/'Anexo '!$D$23</f>
        <v>0</v>
      </c>
      <c r="T52" s="28">
        <f>PROGRAMADO!T52/'Anexo '!$D$23</f>
        <v>0</v>
      </c>
      <c r="U52" s="28">
        <f>PROGRAMADO!U52/'Anexo '!$D$23</f>
        <v>0</v>
      </c>
      <c r="V52" s="28">
        <f>PROGRAMADO!V52/'Anexo '!$D$23</f>
        <v>0</v>
      </c>
      <c r="W52" s="28">
        <f>PROGRAMADO!W52/'Anexo '!$E$23</f>
        <v>0</v>
      </c>
      <c r="X52" s="28">
        <f>PROGRAMADO!X52/'Anexo '!$E$23</f>
        <v>1643429.5685847979</v>
      </c>
      <c r="Y52" s="28">
        <f>PROGRAMADO!Y52/'Anexo '!$E$23</f>
        <v>1643429.5685847979</v>
      </c>
      <c r="Z52" s="28">
        <f>PROGRAMADO!Z52/'Anexo '!$E$23</f>
        <v>777744.01941039728</v>
      </c>
      <c r="AA52" s="28">
        <f>PROGRAMADO!AA52/'Anexo '!$E$23</f>
        <v>2554284.9288544399</v>
      </c>
      <c r="AB52" s="28">
        <f>PROGRAMADO!AB52/'Anexo '!$E$23</f>
        <v>3332028.9482648373</v>
      </c>
      <c r="AC52" s="28">
        <f>PROGRAMADO!AC52/'Anexo '!$E$23</f>
        <v>4975458.5168496352</v>
      </c>
      <c r="AD52" s="28">
        <f>PROGRAMADO!AD52/'Anexo '!$F$23</f>
        <v>0</v>
      </c>
      <c r="AE52" s="28">
        <f>PROGRAMADO!AE52/'Anexo '!$F$23</f>
        <v>1603578.0876494024</v>
      </c>
      <c r="AF52" s="28">
        <f>PROGRAMADO!AF52/'Anexo '!$F$23</f>
        <v>1.6035780876494024</v>
      </c>
      <c r="AG52" s="28">
        <f>PROGRAMADO!AG52/'Anexo '!$F$23</f>
        <v>672781.90096755838</v>
      </c>
      <c r="AH52" s="28">
        <f>PROGRAMADO!AH52/'Anexo '!$F$23</f>
        <v>2198747.8656801367</v>
      </c>
      <c r="AI52" s="28">
        <f>PROGRAMADO!AI52/'Anexo '!$F$23</f>
        <v>2871529.7666476951</v>
      </c>
      <c r="AJ52" s="28">
        <f>PROGRAMADO!AJ52/'Anexo '!$F$23</f>
        <v>4475107.8542970968</v>
      </c>
      <c r="AK52" s="28">
        <f>PROGRAMADO!AK52/'Anexo '!$G$23</f>
        <v>0</v>
      </c>
      <c r="AL52" s="28">
        <f>PROGRAMADO!AL52/'Anexo '!$G$23</f>
        <v>1626148.4673550695</v>
      </c>
      <c r="AM52" s="28">
        <f>PROGRAMADO!AM52/'Anexo '!$G$23</f>
        <v>1626148.4673550695</v>
      </c>
      <c r="AN52" s="28">
        <f>PROGRAMADO!AN52/'Anexo '!$G$23</f>
        <v>1867468.899910562</v>
      </c>
      <c r="AO52" s="28">
        <f>PROGRAMADO!AO52/'Anexo '!$G$23</f>
        <v>2992113.1799333282</v>
      </c>
      <c r="AP52" s="28">
        <f>PROGRAMADO!AP52/'Anexo '!$G$23</f>
        <v>4859582.0798438899</v>
      </c>
      <c r="AQ52" s="28">
        <f>PROGRAMADO!AQ52/'Anexo '!$G$23</f>
        <v>6485730.5471989596</v>
      </c>
      <c r="AR52" s="28">
        <f>PROGRAMADO!AR52/'Anexo '!$H$23</f>
        <v>0</v>
      </c>
      <c r="AS52" s="28">
        <f>PROGRAMADO!AS52/'Anexo '!$H$23</f>
        <v>1276335.5685296743</v>
      </c>
      <c r="AT52" s="28">
        <f>PROGRAMADO!AT52/'Anexo '!$H$23</f>
        <v>1276335.5685296743</v>
      </c>
      <c r="AU52" s="28">
        <f>PROGRAMADO!AU52/'Anexo '!$H$23</f>
        <v>183663.76039521163</v>
      </c>
      <c r="AV52" s="28">
        <f>PROGRAMADO!AV52/'Anexo '!$H$23</f>
        <v>3187038.9584914232</v>
      </c>
      <c r="AW52" s="28">
        <f>PROGRAMADO!AW52/'Anexo '!$H$23</f>
        <v>3370702.7188866343</v>
      </c>
      <c r="AX52" s="28">
        <f>PROGRAMADO!AX52/'Anexo '!$H$23</f>
        <v>4647038.2874163091</v>
      </c>
      <c r="AY52" s="28">
        <f>PROGRAMADO!AY52/'Anexo '!$I$23</f>
        <v>0</v>
      </c>
      <c r="AZ52" s="28">
        <f>PROGRAMADO!AZ52/'Anexo '!$I$23</f>
        <v>1313775.3221025518</v>
      </c>
      <c r="BA52" s="28">
        <f>PROGRAMADO!BA52/'Anexo '!$I$23</f>
        <v>1313775.3221025518</v>
      </c>
      <c r="BB52" s="28">
        <f>PROGRAMADO!BB52/'Anexo '!$I$23</f>
        <v>174901.31692138288</v>
      </c>
      <c r="BC52" s="28">
        <f>PROGRAMADO!BC52/'Anexo '!$I$23</f>
        <v>2212073.9914171528</v>
      </c>
      <c r="BD52" s="28">
        <f>PROGRAMADO!BD52/'Anexo '!$I$23</f>
        <v>2386975.3083385359</v>
      </c>
      <c r="BE52" s="28">
        <f>PROGRAMADO!BE52/'Anexo '!$I$23</f>
        <v>3700750.6304410873</v>
      </c>
      <c r="BF52" s="28">
        <f>PROGRAMADO!BF52/'Anexo '!$J$23</f>
        <v>0</v>
      </c>
      <c r="BG52" s="28">
        <f>PROGRAMADO!BG52/'Anexo '!$J$23</f>
        <v>468243.71148695471</v>
      </c>
      <c r="BH52" s="28">
        <f>PROGRAMADO!BH52/'Anexo '!$J$23</f>
        <v>468243.71148695471</v>
      </c>
      <c r="BI52" s="28">
        <f>PROGRAMADO!BI52/'Anexo '!$J$23</f>
        <v>0</v>
      </c>
      <c r="BJ52" s="28">
        <f>PROGRAMADO!BJ52/'Anexo '!$J$23</f>
        <v>4369026.0530801071</v>
      </c>
      <c r="BK52" s="28">
        <f>PROGRAMADO!BK52/'Anexo '!$J$23</f>
        <v>4369026.0530801071</v>
      </c>
      <c r="BL52" s="28">
        <f>PROGRAMADO!BL52/'Anexo '!$J$23</f>
        <v>4837269.7645670613</v>
      </c>
      <c r="BM52" s="28">
        <f>PROGRAMADO!BM52/'Anexo '!$K$23</f>
        <v>0</v>
      </c>
      <c r="BN52" s="28">
        <f>PROGRAMADO!BN52/'Anexo '!$K$23</f>
        <v>4793906.6102397852</v>
      </c>
      <c r="BO52" s="28">
        <f>PROGRAMADO!BO52/'Anexo '!$K$23</f>
        <v>4793906.6102397852</v>
      </c>
      <c r="BP52" s="28">
        <f>PROGRAMADO!BP52/'Anexo '!$K$23</f>
        <v>0</v>
      </c>
      <c r="BQ52" s="28">
        <f>PROGRAMADO!BQ52/'Anexo '!$K$23</f>
        <v>2077746.0165980656</v>
      </c>
      <c r="BR52" s="28">
        <f>PROGRAMADO!BR52/'Anexo '!$K$23</f>
        <v>2077746.0165980656</v>
      </c>
      <c r="BS52" s="28">
        <f>PROGRAMADO!BS52/'Anexo '!$K$23</f>
        <v>6871652.6268378505</v>
      </c>
      <c r="BT52" s="28">
        <f>PROGRAMADO!BT52/'Anexo '!$L$23</f>
        <v>0</v>
      </c>
      <c r="BU52" s="28">
        <f>PROGRAMADO!BU52/'Anexo '!$L$23</f>
        <v>4840848.1867947523</v>
      </c>
      <c r="BV52" s="28">
        <f>PROGRAMADO!BV52/'Anexo '!$L$23</f>
        <v>0</v>
      </c>
      <c r="BW52" s="28">
        <f>PROGRAMADO!BW52/'Anexo '!$L$23</f>
        <v>4840848.1867947523</v>
      </c>
      <c r="BX52" s="28">
        <f>PROGRAMADO!BX52/'Anexo '!$L$23</f>
        <v>0</v>
      </c>
      <c r="BY52" s="28">
        <f>PROGRAMADO!BY52/'Anexo '!$L$23</f>
        <v>1155491.0029855564</v>
      </c>
      <c r="BZ52" s="28">
        <f>PROGRAMADO!BZ52/'Anexo '!$L$23</f>
        <v>1155491.0029855564</v>
      </c>
      <c r="CA52" s="28">
        <f>PROGRAMADO!CA52/'Anexo '!$L$23</f>
        <v>5996339.1897803089</v>
      </c>
      <c r="CB52" s="28">
        <f>PROGRAMADO!CB52/'Anexo '!$M$23</f>
        <v>0</v>
      </c>
      <c r="CC52" s="28">
        <f>PROGRAMADO!CC52/'Anexo '!$M$23</f>
        <v>0</v>
      </c>
      <c r="CD52" s="28">
        <f>PROGRAMADO!CD52/'Anexo '!$M$23</f>
        <v>0</v>
      </c>
      <c r="CE52" s="28">
        <f>PROGRAMADO!CE52/'Anexo '!$M$23</f>
        <v>0</v>
      </c>
      <c r="CF52" s="28">
        <f>PROGRAMADO!CF52/'Anexo '!$M$23</f>
        <v>0</v>
      </c>
      <c r="CG52" s="28">
        <f>PROGRAMADO!CG52/'Anexo '!$M$23</f>
        <v>0</v>
      </c>
      <c r="CH52" s="28">
        <f>PROGRAMADO!CH52/'Anexo '!$M$23</f>
        <v>0</v>
      </c>
      <c r="CI52" s="29">
        <f>PROGRAMADO!CI52/'Anexo '!$M$23</f>
        <v>0</v>
      </c>
    </row>
    <row r="53" spans="1:87" x14ac:dyDescent="0.25">
      <c r="A53" s="15" t="s">
        <v>78</v>
      </c>
      <c r="B53" s="27">
        <f>PROGRAMADO!B53/'Anexo '!$B$23</f>
        <v>0</v>
      </c>
      <c r="C53" s="28">
        <f>PROGRAMADO!C53/'Anexo '!$B$23</f>
        <v>0</v>
      </c>
      <c r="D53" s="28">
        <f>PROGRAMADO!D53/'Anexo '!$B$23</f>
        <v>0</v>
      </c>
      <c r="E53" s="28">
        <f>PROGRAMADO!E53/'Anexo '!$B$23</f>
        <v>0</v>
      </c>
      <c r="F53" s="28">
        <f>PROGRAMADO!F53/'Anexo '!$B$23</f>
        <v>0</v>
      </c>
      <c r="G53" s="28">
        <f>PROGRAMADO!G53/'Anexo '!$B$23</f>
        <v>0</v>
      </c>
      <c r="H53" s="28">
        <f>PROGRAMADO!H53/'Anexo '!$B$23</f>
        <v>0</v>
      </c>
      <c r="I53" s="28">
        <f>PROGRAMADO!I53/'Anexo '!$C$23</f>
        <v>0</v>
      </c>
      <c r="J53" s="28">
        <f>PROGRAMADO!J53/'Anexo '!$C$23</f>
        <v>0</v>
      </c>
      <c r="K53" s="28">
        <f>PROGRAMADO!K53/'Anexo '!$C$23</f>
        <v>0</v>
      </c>
      <c r="L53" s="28">
        <f>PROGRAMADO!L53/'Anexo '!$C$23</f>
        <v>0</v>
      </c>
      <c r="M53" s="28">
        <f>PROGRAMADO!M53/'Anexo '!$C$23</f>
        <v>0</v>
      </c>
      <c r="N53" s="28">
        <f>PROGRAMADO!N53/'Anexo '!$C$23</f>
        <v>0</v>
      </c>
      <c r="O53" s="28">
        <f>PROGRAMADO!O53/'Anexo '!$C$23</f>
        <v>0</v>
      </c>
      <c r="P53" s="28">
        <f>PROGRAMADO!P53/'Anexo '!$D$23</f>
        <v>0</v>
      </c>
      <c r="Q53" s="28">
        <f>PROGRAMADO!Q53/'Anexo '!$D$23</f>
        <v>0</v>
      </c>
      <c r="R53" s="28">
        <f>PROGRAMADO!R53/'Anexo '!$D$23</f>
        <v>0</v>
      </c>
      <c r="S53" s="28">
        <f>PROGRAMADO!S53/'Anexo '!$D$23</f>
        <v>0</v>
      </c>
      <c r="T53" s="28">
        <f>PROGRAMADO!T53/'Anexo '!$D$23</f>
        <v>0</v>
      </c>
      <c r="U53" s="28">
        <f>PROGRAMADO!U53/'Anexo '!$D$23</f>
        <v>0</v>
      </c>
      <c r="V53" s="28">
        <f>PROGRAMADO!V53/'Anexo '!$D$23</f>
        <v>0</v>
      </c>
      <c r="W53" s="28">
        <f>PROGRAMADO!W53/'Anexo '!$E$23</f>
        <v>0</v>
      </c>
      <c r="X53" s="28">
        <f>PROGRAMADO!X53/'Anexo '!$E$23</f>
        <v>1273864.5096902584</v>
      </c>
      <c r="Y53" s="28">
        <f>PROGRAMADO!Y53/'Anexo '!$E$23</f>
        <v>1273864.5096902584</v>
      </c>
      <c r="Z53" s="28">
        <f>PROGRAMADO!Z53/'Anexo '!$E$23</f>
        <v>3227244.2375383219</v>
      </c>
      <c r="AA53" s="28">
        <f>PROGRAMADO!AA53/'Anexo '!$E$23</f>
        <v>4357278.0025458215</v>
      </c>
      <c r="AB53" s="28">
        <f>PROGRAMADO!AB53/'Anexo '!$E$23</f>
        <v>7584522.2400841434</v>
      </c>
      <c r="AC53" s="28">
        <f>PROGRAMADO!AC53/'Anexo '!$E$23</f>
        <v>8858386.749774402</v>
      </c>
      <c r="AD53" s="28">
        <f>PROGRAMADO!AD53/'Anexo '!$F$23</f>
        <v>0</v>
      </c>
      <c r="AE53" s="28">
        <f>PROGRAMADO!AE53/'Anexo '!$F$23</f>
        <v>1286558.4519066589</v>
      </c>
      <c r="AF53" s="28">
        <f>PROGRAMADO!AF53/'Anexo '!$F$23</f>
        <v>1286558.4519066589</v>
      </c>
      <c r="AG53" s="28">
        <f>PROGRAMADO!AG53/'Anexo '!$F$23</f>
        <v>5294008.1388730789</v>
      </c>
      <c r="AH53" s="28">
        <f>PROGRAMADO!AH53/'Anexo '!$F$23</f>
        <v>6824176.9493454751</v>
      </c>
      <c r="AI53" s="28">
        <f>PROGRAMADO!AI53/'Anexo '!$F$23</f>
        <v>12118185.088218555</v>
      </c>
      <c r="AJ53" s="28">
        <f>PROGRAMADO!AJ53/'Anexo '!$F$23</f>
        <v>13404743.540125214</v>
      </c>
      <c r="AK53" s="28">
        <f>PROGRAMADO!AK53/'Anexo '!$G$23</f>
        <v>0</v>
      </c>
      <c r="AL53" s="28">
        <f>PROGRAMADO!AL53/'Anexo '!$G$23</f>
        <v>1604555.9801609889</v>
      </c>
      <c r="AM53" s="28">
        <f>PROGRAMADO!AM53/'Anexo '!$G$23</f>
        <v>1604555.9801609889</v>
      </c>
      <c r="AN53" s="28">
        <f>PROGRAMADO!AN53/'Anexo '!$G$23</f>
        <v>4853978.4264303334</v>
      </c>
      <c r="AO53" s="28">
        <f>PROGRAMADO!AO53/'Anexo '!$G$23</f>
        <v>2947910.9412689381</v>
      </c>
      <c r="AP53" s="28">
        <f>PROGRAMADO!AP53/'Anexo '!$G$23</f>
        <v>7801889.3676992711</v>
      </c>
      <c r="AQ53" s="28">
        <f>PROGRAMADO!AQ53/'Anexo '!$G$23</f>
        <v>9406445.3478602599</v>
      </c>
      <c r="AR53" s="28">
        <f>PROGRAMADO!AR53/'Anexo '!$H$23</f>
        <v>0</v>
      </c>
      <c r="AS53" s="28">
        <f>PROGRAMADO!AS53/'Anexo '!$H$23</f>
        <v>0</v>
      </c>
      <c r="AT53" s="28">
        <f>PROGRAMADO!AT53/'Anexo '!$H$23</f>
        <v>0</v>
      </c>
      <c r="AU53" s="28">
        <f>PROGRAMADO!AU53/'Anexo '!$H$23</f>
        <v>0</v>
      </c>
      <c r="AV53" s="28">
        <f>PROGRAMADO!AV53/'Anexo '!$H$23</f>
        <v>0</v>
      </c>
      <c r="AW53" s="28">
        <f>PROGRAMADO!AW53/'Anexo '!$H$23</f>
        <v>0</v>
      </c>
      <c r="AX53" s="28">
        <f>PROGRAMADO!AX53/'Anexo '!$H$23</f>
        <v>0</v>
      </c>
      <c r="AY53" s="28">
        <f>PROGRAMADO!AY53/'Anexo '!$I$23</f>
        <v>0</v>
      </c>
      <c r="AZ53" s="28">
        <f>PROGRAMADO!AZ53/'Anexo '!$I$23</f>
        <v>0</v>
      </c>
      <c r="BA53" s="28">
        <f>PROGRAMADO!BA53/'Anexo '!$I$23</f>
        <v>0</v>
      </c>
      <c r="BB53" s="28">
        <f>PROGRAMADO!BB53/'Anexo '!$I$23</f>
        <v>0</v>
      </c>
      <c r="BC53" s="28">
        <f>PROGRAMADO!BC53/'Anexo '!$I$23</f>
        <v>0</v>
      </c>
      <c r="BD53" s="28">
        <f>PROGRAMADO!BD53/'Anexo '!$I$23</f>
        <v>0</v>
      </c>
      <c r="BE53" s="28">
        <f>PROGRAMADO!BE53/'Anexo '!$I$23</f>
        <v>0</v>
      </c>
      <c r="BF53" s="28">
        <f>PROGRAMADO!BF53/'Anexo '!$J$23</f>
        <v>0</v>
      </c>
      <c r="BG53" s="28">
        <f>PROGRAMADO!BG53/'Anexo '!$J$23</f>
        <v>0</v>
      </c>
      <c r="BH53" s="28">
        <f>PROGRAMADO!BH53/'Anexo '!$J$23</f>
        <v>0</v>
      </c>
      <c r="BI53" s="28">
        <f>PROGRAMADO!BI53/'Anexo '!$J$23</f>
        <v>0</v>
      </c>
      <c r="BJ53" s="28">
        <f>PROGRAMADO!BJ53/'Anexo '!$J$23</f>
        <v>0</v>
      </c>
      <c r="BK53" s="28">
        <f>PROGRAMADO!BK53/'Anexo '!$J$23</f>
        <v>0</v>
      </c>
      <c r="BL53" s="28">
        <f>PROGRAMADO!BL53/'Anexo '!$J$23</f>
        <v>0</v>
      </c>
      <c r="BM53" s="28">
        <f>PROGRAMADO!BM53/'Anexo '!$K$23</f>
        <v>0</v>
      </c>
      <c r="BN53" s="28">
        <f>PROGRAMADO!BN53/'Anexo '!$K$23</f>
        <v>0</v>
      </c>
      <c r="BO53" s="28">
        <f>PROGRAMADO!BO53/'Anexo '!$K$23</f>
        <v>0</v>
      </c>
      <c r="BP53" s="28">
        <f>PROGRAMADO!BP53/'Anexo '!$K$23</f>
        <v>0</v>
      </c>
      <c r="BQ53" s="28">
        <f>PROGRAMADO!BQ53/'Anexo '!$K$23</f>
        <v>0</v>
      </c>
      <c r="BR53" s="28">
        <f>PROGRAMADO!BR53/'Anexo '!$K$23</f>
        <v>0</v>
      </c>
      <c r="BS53" s="28">
        <f>PROGRAMADO!BS53/'Anexo '!$K$23</f>
        <v>0</v>
      </c>
      <c r="BT53" s="28">
        <f>PROGRAMADO!BT53/'Anexo '!$L$23</f>
        <v>0</v>
      </c>
      <c r="BU53" s="28">
        <f>PROGRAMADO!BU53/'Anexo '!$L$23</f>
        <v>0</v>
      </c>
      <c r="BV53" s="28">
        <f>PROGRAMADO!BV53/'Anexo '!$L$23</f>
        <v>0</v>
      </c>
      <c r="BW53" s="28">
        <f>PROGRAMADO!BW53/'Anexo '!$L$23</f>
        <v>0</v>
      </c>
      <c r="BX53" s="28">
        <f>PROGRAMADO!BX53/'Anexo '!$L$23</f>
        <v>0</v>
      </c>
      <c r="BY53" s="28">
        <f>PROGRAMADO!BY53/'Anexo '!$L$23</f>
        <v>0</v>
      </c>
      <c r="BZ53" s="28">
        <f>PROGRAMADO!BZ53/'Anexo '!$L$23</f>
        <v>0</v>
      </c>
      <c r="CA53" s="28">
        <f>PROGRAMADO!CA53/'Anexo '!$L$23</f>
        <v>0</v>
      </c>
      <c r="CB53" s="28">
        <f>PROGRAMADO!CB53/'Anexo '!$M$23</f>
        <v>0</v>
      </c>
      <c r="CC53" s="28">
        <f>PROGRAMADO!CC53/'Anexo '!$M$23</f>
        <v>0</v>
      </c>
      <c r="CD53" s="28">
        <f>PROGRAMADO!CD53/'Anexo '!$M$23</f>
        <v>0</v>
      </c>
      <c r="CE53" s="28">
        <f>PROGRAMADO!CE53/'Anexo '!$M$23</f>
        <v>0</v>
      </c>
      <c r="CF53" s="28">
        <f>PROGRAMADO!CF53/'Anexo '!$M$23</f>
        <v>0</v>
      </c>
      <c r="CG53" s="28">
        <f>PROGRAMADO!CG53/'Anexo '!$M$23</f>
        <v>0</v>
      </c>
      <c r="CH53" s="28">
        <f>PROGRAMADO!CH53/'Anexo '!$M$23</f>
        <v>0</v>
      </c>
      <c r="CI53" s="29">
        <f>PROGRAMADO!CI53/'Anexo '!$M$23</f>
        <v>0</v>
      </c>
    </row>
    <row r="54" spans="1:87" x14ac:dyDescent="0.25">
      <c r="A54" s="15" t="s">
        <v>92</v>
      </c>
      <c r="B54" s="27">
        <f>PROGRAMADO!B54/'Anexo '!$B$23</f>
        <v>0</v>
      </c>
      <c r="C54" s="28">
        <f>PROGRAMADO!C54/'Anexo '!$B$23</f>
        <v>0</v>
      </c>
      <c r="D54" s="28">
        <f>PROGRAMADO!D54/'Anexo '!$B$23</f>
        <v>0</v>
      </c>
      <c r="E54" s="28">
        <f>PROGRAMADO!E54/'Anexo '!$B$23</f>
        <v>0</v>
      </c>
      <c r="F54" s="28">
        <f>PROGRAMADO!F54/'Anexo '!$B$23</f>
        <v>0</v>
      </c>
      <c r="G54" s="28">
        <f>PROGRAMADO!G54/'Anexo '!$B$23</f>
        <v>0</v>
      </c>
      <c r="H54" s="28">
        <f>PROGRAMADO!H54/'Anexo '!$B$23</f>
        <v>0</v>
      </c>
      <c r="I54" s="28">
        <f>PROGRAMADO!I54/'Anexo '!$C$23</f>
        <v>0</v>
      </c>
      <c r="J54" s="28">
        <f>PROGRAMADO!J54/'Anexo '!$C$23</f>
        <v>0</v>
      </c>
      <c r="K54" s="28">
        <f>PROGRAMADO!K54/'Anexo '!$C$23</f>
        <v>0</v>
      </c>
      <c r="L54" s="28">
        <f>PROGRAMADO!L54/'Anexo '!$C$23</f>
        <v>0</v>
      </c>
      <c r="M54" s="28">
        <f>PROGRAMADO!M54/'Anexo '!$C$23</f>
        <v>0</v>
      </c>
      <c r="N54" s="28">
        <f>PROGRAMADO!N54/'Anexo '!$C$23</f>
        <v>0</v>
      </c>
      <c r="O54" s="28">
        <f>PROGRAMADO!O54/'Anexo '!$C$23</f>
        <v>0</v>
      </c>
      <c r="P54" s="28">
        <f>PROGRAMADO!P54/'Anexo '!$D$23</f>
        <v>0</v>
      </c>
      <c r="Q54" s="28">
        <f>PROGRAMADO!Q54/'Anexo '!$D$23</f>
        <v>0</v>
      </c>
      <c r="R54" s="28">
        <f>PROGRAMADO!R54/'Anexo '!$D$23</f>
        <v>0</v>
      </c>
      <c r="S54" s="28">
        <f>PROGRAMADO!S54/'Anexo '!$D$23</f>
        <v>0</v>
      </c>
      <c r="T54" s="28">
        <f>PROGRAMADO!T54/'Anexo '!$D$23</f>
        <v>0</v>
      </c>
      <c r="U54" s="28">
        <f>PROGRAMADO!U54/'Anexo '!$D$23</f>
        <v>0</v>
      </c>
      <c r="V54" s="28">
        <f>PROGRAMADO!V54/'Anexo '!$D$23</f>
        <v>0</v>
      </c>
      <c r="W54" s="28">
        <f>PROGRAMADO!W54/'Anexo '!$E$23</f>
        <v>0</v>
      </c>
      <c r="X54" s="28">
        <f>PROGRAMADO!X54/'Anexo '!$E$23</f>
        <v>298805.37610632693</v>
      </c>
      <c r="Y54" s="28">
        <f>PROGRAMADO!Y54/'Anexo '!$E$23</f>
        <v>298805.37610632693</v>
      </c>
      <c r="Z54" s="28">
        <f>PROGRAMADO!Z54/'Anexo '!$E$23</f>
        <v>0</v>
      </c>
      <c r="AA54" s="28">
        <f>PROGRAMADO!AA54/'Anexo '!$E$23</f>
        <v>1789844.2028768982</v>
      </c>
      <c r="AB54" s="28">
        <f>PROGRAMADO!AB54/'Anexo '!$E$23</f>
        <v>1789844.2028768982</v>
      </c>
      <c r="AC54" s="28">
        <f>PROGRAMADO!AC54/'Anexo '!$E$23</f>
        <v>2088649.5789832252</v>
      </c>
      <c r="AD54" s="28">
        <f>PROGRAMADO!AD54/'Anexo '!$F$23</f>
        <v>0</v>
      </c>
      <c r="AE54" s="28">
        <f>PROGRAMADO!AE54/'Anexo '!$F$23</f>
        <v>211135.34433693797</v>
      </c>
      <c r="AF54" s="28">
        <f>PROGRAMADO!AF54/'Anexo '!$F$23</f>
        <v>211135.34433693797</v>
      </c>
      <c r="AG54" s="28">
        <f>PROGRAMADO!AG54/'Anexo '!$F$23</f>
        <v>0</v>
      </c>
      <c r="AH54" s="28">
        <f>PROGRAMADO!AH54/'Anexo '!$F$23</f>
        <v>3459458.7364826407</v>
      </c>
      <c r="AI54" s="28">
        <f>PROGRAMADO!AI54/'Anexo '!$F$23</f>
        <v>3459458.7364826407</v>
      </c>
      <c r="AJ54" s="28">
        <f>PROGRAMADO!AJ54/'Anexo '!$F$23</f>
        <v>3670594.0808195788</v>
      </c>
      <c r="AK54" s="28">
        <f>PROGRAMADO!AK54/'Anexo '!$G$23</f>
        <v>0</v>
      </c>
      <c r="AL54" s="28">
        <f>PROGRAMADO!AL54/'Anexo '!$G$23</f>
        <v>71338.699623275606</v>
      </c>
      <c r="AM54" s="28">
        <f>PROGRAMADO!AM54/'Anexo '!$G$23</f>
        <v>71338.699623275606</v>
      </c>
      <c r="AN54" s="28">
        <f>PROGRAMADO!AN54/'Anexo '!$G$23</f>
        <v>172480.14743746104</v>
      </c>
      <c r="AO54" s="28">
        <f>PROGRAMADO!AO54/'Anexo '!$G$23</f>
        <v>2221974.3068542159</v>
      </c>
      <c r="AP54" s="28">
        <f>PROGRAMADO!AP54/'Anexo '!$G$23</f>
        <v>2394454.4542916771</v>
      </c>
      <c r="AQ54" s="28">
        <f>PROGRAMADO!AQ54/'Anexo '!$G$23</f>
        <v>2465793.1539149527</v>
      </c>
      <c r="AR54" s="28">
        <f>PROGRAMADO!AR54/'Anexo '!$H$23</f>
        <v>0</v>
      </c>
      <c r="AS54" s="28">
        <f>PROGRAMADO!AS54/'Anexo '!$H$23</f>
        <v>136124.95418621818</v>
      </c>
      <c r="AT54" s="28">
        <f>PROGRAMADO!AT54/'Anexo '!$H$23</f>
        <v>136124.95418621818</v>
      </c>
      <c r="AU54" s="28">
        <f>PROGRAMADO!AU54/'Anexo '!$H$23</f>
        <v>693192.76890754129</v>
      </c>
      <c r="AV54" s="28">
        <f>PROGRAMADO!AV54/'Anexo '!$H$23</f>
        <v>2469817.9321594681</v>
      </c>
      <c r="AW54" s="28">
        <f>PROGRAMADO!AW54/'Anexo '!$H$23</f>
        <v>3163010.7010670095</v>
      </c>
      <c r="AX54" s="28">
        <f>PROGRAMADO!AX54/'Anexo '!$H$23</f>
        <v>3299135.6552532278</v>
      </c>
      <c r="AY54" s="28">
        <f>PROGRAMADO!AY54/'Anexo '!$I$23</f>
        <v>0</v>
      </c>
      <c r="AZ54" s="28">
        <f>PROGRAMADO!AZ54/'Anexo '!$I$23</f>
        <v>0</v>
      </c>
      <c r="BA54" s="28">
        <f>PROGRAMADO!BA54/'Anexo '!$I$23</f>
        <v>0</v>
      </c>
      <c r="BB54" s="28">
        <f>PROGRAMADO!BB54/'Anexo '!$I$23</f>
        <v>0</v>
      </c>
      <c r="BC54" s="28">
        <f>PROGRAMADO!BC54/'Anexo '!$I$23</f>
        <v>3108736.6108077019</v>
      </c>
      <c r="BD54" s="28">
        <f>PROGRAMADO!BD54/'Anexo '!$I$23</f>
        <v>3108736.6108077019</v>
      </c>
      <c r="BE54" s="28">
        <f>PROGRAMADO!BE54/'Anexo '!$I$23</f>
        <v>3108736.6108077019</v>
      </c>
      <c r="BF54" s="28">
        <f>PROGRAMADO!BF54/'Anexo '!$J$23</f>
        <v>0</v>
      </c>
      <c r="BG54" s="28">
        <f>PROGRAMADO!BG54/'Anexo '!$J$23</f>
        <v>0</v>
      </c>
      <c r="BH54" s="28">
        <f>PROGRAMADO!BH54/'Anexo '!$J$23</f>
        <v>0</v>
      </c>
      <c r="BI54" s="28">
        <f>PROGRAMADO!BI54/'Anexo '!$J$23</f>
        <v>0</v>
      </c>
      <c r="BJ54" s="28">
        <f>PROGRAMADO!BJ54/'Anexo '!$J$23</f>
        <v>2048342.8386806764</v>
      </c>
      <c r="BK54" s="28">
        <f>PROGRAMADO!BK54/'Anexo '!$J$23</f>
        <v>2048342.8386806764</v>
      </c>
      <c r="BL54" s="28">
        <f>PROGRAMADO!BL54/'Anexo '!$J$23</f>
        <v>2048342.8386806764</v>
      </c>
      <c r="BM54" s="28">
        <f>PROGRAMADO!BM54/'Anexo '!$K$23</f>
        <v>0</v>
      </c>
      <c r="BN54" s="28">
        <f>PROGRAMADO!BN54/'Anexo '!$K$23</f>
        <v>0</v>
      </c>
      <c r="BO54" s="28">
        <f>PROGRAMADO!BO54/'Anexo '!$K$23</f>
        <v>0</v>
      </c>
      <c r="BP54" s="28">
        <f>PROGRAMADO!BP54/'Anexo '!$K$23</f>
        <v>0</v>
      </c>
      <c r="BQ54" s="28">
        <f>PROGRAMADO!BQ54/'Anexo '!$K$23</f>
        <v>0</v>
      </c>
      <c r="BR54" s="28">
        <f>PROGRAMADO!BR54/'Anexo '!$K$23</f>
        <v>0</v>
      </c>
      <c r="BS54" s="28">
        <f>PROGRAMADO!BS54/'Anexo '!$K$23</f>
        <v>0</v>
      </c>
      <c r="BT54" s="28">
        <f>PROGRAMADO!BT54/'Anexo '!$L$23</f>
        <v>0</v>
      </c>
      <c r="BU54" s="28">
        <f>PROGRAMADO!BU54/'Anexo '!$L$23</f>
        <v>0</v>
      </c>
      <c r="BV54" s="28">
        <f>PROGRAMADO!BV54/'Anexo '!$L$23</f>
        <v>0</v>
      </c>
      <c r="BW54" s="28">
        <f>PROGRAMADO!BW54/'Anexo '!$L$23</f>
        <v>0</v>
      </c>
      <c r="BX54" s="28">
        <f>PROGRAMADO!BX54/'Anexo '!$L$23</f>
        <v>0</v>
      </c>
      <c r="BY54" s="28">
        <f>PROGRAMADO!BY54/'Anexo '!$L$23</f>
        <v>0</v>
      </c>
      <c r="BZ54" s="28">
        <f>PROGRAMADO!BZ54/'Anexo '!$L$23</f>
        <v>0</v>
      </c>
      <c r="CA54" s="28">
        <f>PROGRAMADO!CA54/'Anexo '!$L$23</f>
        <v>0</v>
      </c>
      <c r="CB54" s="28">
        <f>PROGRAMADO!CB54/'Anexo '!$M$23</f>
        <v>0</v>
      </c>
      <c r="CC54" s="28">
        <f>PROGRAMADO!CC54/'Anexo '!$M$23</f>
        <v>0</v>
      </c>
      <c r="CD54" s="28">
        <f>PROGRAMADO!CD54/'Anexo '!$M$23</f>
        <v>0</v>
      </c>
      <c r="CE54" s="28">
        <f>PROGRAMADO!CE54/'Anexo '!$M$23</f>
        <v>0</v>
      </c>
      <c r="CF54" s="28">
        <f>PROGRAMADO!CF54/'Anexo '!$M$23</f>
        <v>0</v>
      </c>
      <c r="CG54" s="28">
        <f>PROGRAMADO!CG54/'Anexo '!$M$23</f>
        <v>0</v>
      </c>
      <c r="CH54" s="28">
        <f>PROGRAMADO!CH54/'Anexo '!$M$23</f>
        <v>0</v>
      </c>
      <c r="CI54" s="29">
        <f>PROGRAMADO!CI54/'Anexo '!$M$23</f>
        <v>0</v>
      </c>
    </row>
    <row r="55" spans="1:87" x14ac:dyDescent="0.25">
      <c r="A55" s="15" t="s">
        <v>93</v>
      </c>
      <c r="B55" s="27">
        <f>PROGRAMADO!B55/'Anexo '!$B$23</f>
        <v>0</v>
      </c>
      <c r="C55" s="28">
        <f>PROGRAMADO!C55/'Anexo '!$B$23</f>
        <v>0</v>
      </c>
      <c r="D55" s="28">
        <f>PROGRAMADO!D55/'Anexo '!$B$23</f>
        <v>0</v>
      </c>
      <c r="E55" s="28">
        <f>PROGRAMADO!E55/'Anexo '!$B$23</f>
        <v>0</v>
      </c>
      <c r="F55" s="28">
        <f>PROGRAMADO!F55/'Anexo '!$B$23</f>
        <v>0</v>
      </c>
      <c r="G55" s="28">
        <f>PROGRAMADO!G55/'Anexo '!$B$23</f>
        <v>0</v>
      </c>
      <c r="H55" s="28">
        <f>PROGRAMADO!H55/'Anexo '!$B$23</f>
        <v>0</v>
      </c>
      <c r="I55" s="28">
        <f>PROGRAMADO!I55/'Anexo '!$C$23</f>
        <v>0</v>
      </c>
      <c r="J55" s="28">
        <f>PROGRAMADO!J55/'Anexo '!$C$23</f>
        <v>0</v>
      </c>
      <c r="K55" s="28">
        <f>PROGRAMADO!K55/'Anexo '!$C$23</f>
        <v>0</v>
      </c>
      <c r="L55" s="28">
        <f>PROGRAMADO!L55/'Anexo '!$C$23</f>
        <v>0</v>
      </c>
      <c r="M55" s="28">
        <f>PROGRAMADO!M55/'Anexo '!$C$23</f>
        <v>0</v>
      </c>
      <c r="N55" s="28">
        <f>PROGRAMADO!N55/'Anexo '!$C$23</f>
        <v>0</v>
      </c>
      <c r="O55" s="28">
        <f>PROGRAMADO!O55/'Anexo '!$C$23</f>
        <v>0</v>
      </c>
      <c r="P55" s="28">
        <f>PROGRAMADO!P55/'Anexo '!$D$23</f>
        <v>0</v>
      </c>
      <c r="Q55" s="28">
        <f>PROGRAMADO!Q55/'Anexo '!$D$23</f>
        <v>0</v>
      </c>
      <c r="R55" s="28">
        <f>PROGRAMADO!R55/'Anexo '!$D$23</f>
        <v>0</v>
      </c>
      <c r="S55" s="28">
        <f>PROGRAMADO!S55/'Anexo '!$D$23</f>
        <v>0</v>
      </c>
      <c r="T55" s="28">
        <f>PROGRAMADO!T55/'Anexo '!$D$23</f>
        <v>0</v>
      </c>
      <c r="U55" s="28">
        <f>PROGRAMADO!U55/'Anexo '!$D$23</f>
        <v>0</v>
      </c>
      <c r="V55" s="28">
        <f>PROGRAMADO!V55/'Anexo '!$D$23</f>
        <v>0</v>
      </c>
      <c r="W55" s="28">
        <f>PROGRAMADO!W55/'Anexo '!$E$23</f>
        <v>0</v>
      </c>
      <c r="X55" s="28">
        <f>PROGRAMADO!X55/'Anexo '!$E$23</f>
        <v>418327.52654885768</v>
      </c>
      <c r="Y55" s="28">
        <f>PROGRAMADO!Y55/'Anexo '!$E$23</f>
        <v>418327.52654885768</v>
      </c>
      <c r="Z55" s="28">
        <f>PROGRAMADO!Z55/'Anexo '!$E$23</f>
        <v>0</v>
      </c>
      <c r="AA55" s="28">
        <f>PROGRAMADO!AA55/'Anexo '!$E$23</f>
        <v>0</v>
      </c>
      <c r="AB55" s="28">
        <f>PROGRAMADO!AB55/'Anexo '!$E$23</f>
        <v>0</v>
      </c>
      <c r="AC55" s="28">
        <f>PROGRAMADO!AC55/'Anexo '!$E$23</f>
        <v>418327.52654885768</v>
      </c>
      <c r="AD55" s="28">
        <f>PROGRAMADO!AD55/'Anexo '!$F$23</f>
        <v>0</v>
      </c>
      <c r="AE55" s="28">
        <f>PROGRAMADO!AE55/'Anexo '!$F$23</f>
        <v>398406.37450199202</v>
      </c>
      <c r="AF55" s="28">
        <f>PROGRAMADO!AF55/'Anexo '!$F$23</f>
        <v>398406.37450199202</v>
      </c>
      <c r="AG55" s="28">
        <f>PROGRAMADO!AG55/'Anexo '!$F$23</f>
        <v>0</v>
      </c>
      <c r="AH55" s="28">
        <f>PROGRAMADO!AH55/'Anexo '!$F$23</f>
        <v>0</v>
      </c>
      <c r="AI55" s="28">
        <f>PROGRAMADO!AI55/'Anexo '!$F$23</f>
        <v>0</v>
      </c>
      <c r="AJ55" s="28">
        <f>PROGRAMADO!AJ55/'Anexo '!$F$23</f>
        <v>398406.37450199202</v>
      </c>
      <c r="AK55" s="28">
        <f>PROGRAMADO!AK55/'Anexo '!$G$23</f>
        <v>0</v>
      </c>
      <c r="AL55" s="28">
        <f>PROGRAMADO!AL55/'Anexo '!$G$23</f>
        <v>341491.17814456462</v>
      </c>
      <c r="AM55" s="28">
        <f>PROGRAMADO!AM55/'Anexo '!$G$23</f>
        <v>341491.17814456462</v>
      </c>
      <c r="AN55" s="28">
        <f>PROGRAMADO!AN55/'Anexo '!$G$23</f>
        <v>0</v>
      </c>
      <c r="AO55" s="28">
        <f>PROGRAMADO!AO55/'Anexo '!$G$23</f>
        <v>0</v>
      </c>
      <c r="AP55" s="28">
        <f>PROGRAMADO!AP55/'Anexo '!$G$23</f>
        <v>0</v>
      </c>
      <c r="AQ55" s="28">
        <f>PROGRAMADO!AQ55/'Anexo '!$G$23</f>
        <v>341491.17814456462</v>
      </c>
      <c r="AR55" s="28">
        <f>PROGRAMADO!AR55/'Anexo '!$H$23</f>
        <v>0</v>
      </c>
      <c r="AS55" s="28">
        <f>PROGRAMADO!AS55/'Anexo '!$H$23</f>
        <v>0</v>
      </c>
      <c r="AT55" s="28">
        <f>PROGRAMADO!AT55/'Anexo '!$H$23</f>
        <v>0</v>
      </c>
      <c r="AU55" s="28">
        <f>PROGRAMADO!AU55/'Anexo '!$H$23</f>
        <v>0</v>
      </c>
      <c r="AV55" s="28">
        <f>PROGRAMADO!AV55/'Anexo '!$H$23</f>
        <v>0</v>
      </c>
      <c r="AW55" s="28">
        <f>PROGRAMADO!AW55/'Anexo '!$H$23</f>
        <v>0</v>
      </c>
      <c r="AX55" s="28">
        <f>PROGRAMADO!AX55/'Anexo '!$H$23</f>
        <v>0</v>
      </c>
      <c r="AY55" s="28">
        <f>PROGRAMADO!AY55/'Anexo '!$I$23</f>
        <v>0</v>
      </c>
      <c r="AZ55" s="28">
        <f>PROGRAMADO!AZ55/'Anexo '!$I$23</f>
        <v>0</v>
      </c>
      <c r="BA55" s="28">
        <f>PROGRAMADO!BA55/'Anexo '!$I$23</f>
        <v>0</v>
      </c>
      <c r="BB55" s="28">
        <f>PROGRAMADO!BB55/'Anexo '!$I$23</f>
        <v>0</v>
      </c>
      <c r="BC55" s="28">
        <f>PROGRAMADO!BC55/'Anexo '!$I$23</f>
        <v>0</v>
      </c>
      <c r="BD55" s="28">
        <f>PROGRAMADO!BD55/'Anexo '!$I$23</f>
        <v>0</v>
      </c>
      <c r="BE55" s="28">
        <f>PROGRAMADO!BE55/'Anexo '!$I$23</f>
        <v>0</v>
      </c>
      <c r="BF55" s="28">
        <f>PROGRAMADO!BF55/'Anexo '!$J$23</f>
        <v>0</v>
      </c>
      <c r="BG55" s="28">
        <f>PROGRAMADO!BG55/'Anexo '!$J$23</f>
        <v>0</v>
      </c>
      <c r="BH55" s="28">
        <f>PROGRAMADO!BH55/'Anexo '!$J$23</f>
        <v>0</v>
      </c>
      <c r="BI55" s="28">
        <f>PROGRAMADO!BI55/'Anexo '!$J$23</f>
        <v>0</v>
      </c>
      <c r="BJ55" s="28">
        <f>PROGRAMADO!BJ55/'Anexo '!$J$23</f>
        <v>0</v>
      </c>
      <c r="BK55" s="28">
        <f>PROGRAMADO!BK55/'Anexo '!$J$23</f>
        <v>0</v>
      </c>
      <c r="BL55" s="28">
        <f>PROGRAMADO!BL55/'Anexo '!$J$23</f>
        <v>0</v>
      </c>
      <c r="BM55" s="28">
        <f>PROGRAMADO!BM55/'Anexo '!$K$23</f>
        <v>0</v>
      </c>
      <c r="BN55" s="28">
        <f>PROGRAMADO!BN55/'Anexo '!$K$23</f>
        <v>0</v>
      </c>
      <c r="BO55" s="28">
        <f>PROGRAMADO!BO55/'Anexo '!$K$23</f>
        <v>0</v>
      </c>
      <c r="BP55" s="28">
        <f>PROGRAMADO!BP55/'Anexo '!$K$23</f>
        <v>0</v>
      </c>
      <c r="BQ55" s="28">
        <f>PROGRAMADO!BQ55/'Anexo '!$K$23</f>
        <v>0</v>
      </c>
      <c r="BR55" s="28">
        <f>PROGRAMADO!BR55/'Anexo '!$K$23</f>
        <v>0</v>
      </c>
      <c r="BS55" s="28">
        <f>PROGRAMADO!BS55/'Anexo '!$K$23</f>
        <v>0</v>
      </c>
      <c r="BT55" s="28">
        <f>PROGRAMADO!BT55/'Anexo '!$L$23</f>
        <v>0</v>
      </c>
      <c r="BU55" s="28">
        <f>PROGRAMADO!BU55/'Anexo '!$L$23</f>
        <v>0</v>
      </c>
      <c r="BV55" s="28">
        <f>PROGRAMADO!BV55/'Anexo '!$L$23</f>
        <v>0</v>
      </c>
      <c r="BW55" s="28">
        <f>PROGRAMADO!BW55/'Anexo '!$L$23</f>
        <v>0</v>
      </c>
      <c r="BX55" s="28">
        <f>PROGRAMADO!BX55/'Anexo '!$L$23</f>
        <v>0</v>
      </c>
      <c r="BY55" s="28">
        <f>PROGRAMADO!BY55/'Anexo '!$L$23</f>
        <v>0</v>
      </c>
      <c r="BZ55" s="28">
        <f>PROGRAMADO!BZ55/'Anexo '!$L$23</f>
        <v>0</v>
      </c>
      <c r="CA55" s="28">
        <f>PROGRAMADO!CA55/'Anexo '!$L$23</f>
        <v>0</v>
      </c>
      <c r="CB55" s="28">
        <f>PROGRAMADO!CB55/'Anexo '!$M$23</f>
        <v>0</v>
      </c>
      <c r="CC55" s="28">
        <f>PROGRAMADO!CC55/'Anexo '!$M$23</f>
        <v>0</v>
      </c>
      <c r="CD55" s="28">
        <f>PROGRAMADO!CD55/'Anexo '!$M$23</f>
        <v>0</v>
      </c>
      <c r="CE55" s="28">
        <f>PROGRAMADO!CE55/'Anexo '!$M$23</f>
        <v>0</v>
      </c>
      <c r="CF55" s="28">
        <f>PROGRAMADO!CF55/'Anexo '!$M$23</f>
        <v>0</v>
      </c>
      <c r="CG55" s="28">
        <f>PROGRAMADO!CG55/'Anexo '!$M$23</f>
        <v>0</v>
      </c>
      <c r="CH55" s="28">
        <f>PROGRAMADO!CH55/'Anexo '!$M$23</f>
        <v>0</v>
      </c>
      <c r="CI55" s="29">
        <f>PROGRAMADO!CI55/'Anexo '!$M$23</f>
        <v>0</v>
      </c>
    </row>
    <row r="56" spans="1:87" x14ac:dyDescent="0.25">
      <c r="A56" s="15" t="s">
        <v>94</v>
      </c>
      <c r="B56" s="27">
        <f>PROGRAMADO!B56/'Anexo '!$B$23</f>
        <v>0</v>
      </c>
      <c r="C56" s="28">
        <f>PROGRAMADO!C56/'Anexo '!$B$23</f>
        <v>0</v>
      </c>
      <c r="D56" s="28">
        <f>PROGRAMADO!D56/'Anexo '!$B$23</f>
        <v>0</v>
      </c>
      <c r="E56" s="28">
        <f>PROGRAMADO!E56/'Anexo '!$B$23</f>
        <v>0</v>
      </c>
      <c r="F56" s="28">
        <f>PROGRAMADO!F56/'Anexo '!$B$23</f>
        <v>0</v>
      </c>
      <c r="G56" s="28">
        <f>PROGRAMADO!G56/'Anexo '!$B$23</f>
        <v>0</v>
      </c>
      <c r="H56" s="28">
        <f>PROGRAMADO!H56/'Anexo '!$B$23</f>
        <v>0</v>
      </c>
      <c r="I56" s="28">
        <f>PROGRAMADO!I56/'Anexo '!$C$23</f>
        <v>0</v>
      </c>
      <c r="J56" s="28">
        <f>PROGRAMADO!J56/'Anexo '!$C$23</f>
        <v>0</v>
      </c>
      <c r="K56" s="28">
        <f>PROGRAMADO!K56/'Anexo '!$C$23</f>
        <v>0</v>
      </c>
      <c r="L56" s="28">
        <f>PROGRAMADO!L56/'Anexo '!$C$23</f>
        <v>0</v>
      </c>
      <c r="M56" s="28">
        <f>PROGRAMADO!M56/'Anexo '!$C$23</f>
        <v>0</v>
      </c>
      <c r="N56" s="28">
        <f>PROGRAMADO!N56/'Anexo '!$C$23</f>
        <v>0</v>
      </c>
      <c r="O56" s="28">
        <f>PROGRAMADO!O56/'Anexo '!$C$23</f>
        <v>0</v>
      </c>
      <c r="P56" s="28">
        <f>PROGRAMADO!P56/'Anexo '!$D$23</f>
        <v>0</v>
      </c>
      <c r="Q56" s="28">
        <f>PROGRAMADO!Q56/'Anexo '!$D$23</f>
        <v>0</v>
      </c>
      <c r="R56" s="28">
        <f>PROGRAMADO!R56/'Anexo '!$D$23</f>
        <v>0</v>
      </c>
      <c r="S56" s="28">
        <f>PROGRAMADO!S56/'Anexo '!$D$23</f>
        <v>0</v>
      </c>
      <c r="T56" s="28">
        <f>PROGRAMADO!T56/'Anexo '!$D$23</f>
        <v>0</v>
      </c>
      <c r="U56" s="28">
        <f>PROGRAMADO!U56/'Anexo '!$D$23</f>
        <v>0</v>
      </c>
      <c r="V56" s="28">
        <f>PROGRAMADO!V56/'Anexo '!$D$23</f>
        <v>0</v>
      </c>
      <c r="W56" s="28">
        <f>PROGRAMADO!W56/'Anexo '!$E$23</f>
        <v>0</v>
      </c>
      <c r="X56" s="28">
        <f>PROGRAMADO!X56/'Anexo '!$E$23</f>
        <v>298805.37610632693</v>
      </c>
      <c r="Y56" s="28">
        <f>PROGRAMADO!Y56/'Anexo '!$E$23</f>
        <v>298805.37610632693</v>
      </c>
      <c r="Z56" s="28">
        <f>PROGRAMADO!Z56/'Anexo '!$E$23</f>
        <v>0</v>
      </c>
      <c r="AA56" s="28">
        <f>PROGRAMADO!AA56/'Anexo '!$E$23</f>
        <v>0</v>
      </c>
      <c r="AB56" s="28">
        <f>PROGRAMADO!AB56/'Anexo '!$E$23</f>
        <v>0</v>
      </c>
      <c r="AC56" s="28">
        <f>PROGRAMADO!AC56/'Anexo '!$E$23</f>
        <v>298805.37610632693</v>
      </c>
      <c r="AD56" s="28">
        <f>PROGRAMADO!AD56/'Anexo '!$F$23</f>
        <v>0</v>
      </c>
      <c r="AE56" s="28">
        <f>PROGRAMADO!AE56/'Anexo '!$F$23</f>
        <v>284575.98178713716</v>
      </c>
      <c r="AF56" s="28">
        <f>PROGRAMADO!AF56/'Anexo '!$F$23</f>
        <v>284575.98178713716</v>
      </c>
      <c r="AG56" s="28">
        <f>PROGRAMADO!AG56/'Anexo '!$F$23</f>
        <v>0</v>
      </c>
      <c r="AH56" s="28">
        <f>PROGRAMADO!AH56/'Anexo '!$F$23</f>
        <v>0</v>
      </c>
      <c r="AI56" s="28">
        <f>PROGRAMADO!AI56/'Anexo '!$F$23</f>
        <v>0</v>
      </c>
      <c r="AJ56" s="28">
        <f>PROGRAMADO!AJ56/'Anexo '!$F$23</f>
        <v>284575.98178713716</v>
      </c>
      <c r="AK56" s="28">
        <f>PROGRAMADO!AK56/'Anexo '!$G$23</f>
        <v>0</v>
      </c>
      <c r="AL56" s="28">
        <f>PROGRAMADO!AL56/'Anexo '!$G$23</f>
        <v>243922.27010326044</v>
      </c>
      <c r="AM56" s="28">
        <f>PROGRAMADO!AM56/'Anexo '!$G$23</f>
        <v>243922.27010326044</v>
      </c>
      <c r="AN56" s="28">
        <f>PROGRAMADO!AN56/'Anexo '!$G$23</f>
        <v>0</v>
      </c>
      <c r="AO56" s="28">
        <f>PROGRAMADO!AO56/'Anexo '!$G$23</f>
        <v>0</v>
      </c>
      <c r="AP56" s="28">
        <f>PROGRAMADO!AP56/'Anexo '!$G$23</f>
        <v>0</v>
      </c>
      <c r="AQ56" s="28">
        <f>PROGRAMADO!AQ56/'Anexo '!$G$23</f>
        <v>243922.27010326044</v>
      </c>
      <c r="AR56" s="28">
        <f>PROGRAMADO!AR56/'Anexo '!$H$23</f>
        <v>0</v>
      </c>
      <c r="AS56" s="28">
        <f>PROGRAMADO!AS56/'Anexo '!$H$23</f>
        <v>0</v>
      </c>
      <c r="AT56" s="28">
        <f>PROGRAMADO!AT56/'Anexo '!$H$23</f>
        <v>0</v>
      </c>
      <c r="AU56" s="28">
        <f>PROGRAMADO!AU56/'Anexo '!$H$23</f>
        <v>0</v>
      </c>
      <c r="AV56" s="28">
        <f>PROGRAMADO!AV56/'Anexo '!$H$23</f>
        <v>0</v>
      </c>
      <c r="AW56" s="28">
        <f>PROGRAMADO!AW56/'Anexo '!$H$23</f>
        <v>0</v>
      </c>
      <c r="AX56" s="28">
        <f>PROGRAMADO!AX56/'Anexo '!$H$23</f>
        <v>0</v>
      </c>
      <c r="AY56" s="28">
        <f>PROGRAMADO!AY56/'Anexo '!$I$23</f>
        <v>0</v>
      </c>
      <c r="AZ56" s="28">
        <f>PROGRAMADO!AZ56/'Anexo '!$I$23</f>
        <v>147471.5994278102</v>
      </c>
      <c r="BA56" s="28">
        <f>PROGRAMADO!BA56/'Anexo '!$I$23</f>
        <v>147471.5994278102</v>
      </c>
      <c r="BB56" s="28">
        <f>PROGRAMADO!BB56/'Anexo '!$I$23</f>
        <v>0</v>
      </c>
      <c r="BC56" s="28">
        <f>PROGRAMADO!BC56/'Anexo '!$I$23</f>
        <v>0</v>
      </c>
      <c r="BD56" s="28">
        <f>PROGRAMADO!BD56/'Anexo '!$I$23</f>
        <v>0</v>
      </c>
      <c r="BE56" s="28">
        <f>PROGRAMADO!BE56/'Anexo '!$I$23</f>
        <v>147471.5994278102</v>
      </c>
      <c r="BF56" s="28">
        <f>PROGRAMADO!BF56/'Anexo '!$J$23</f>
        <v>0</v>
      </c>
      <c r="BG56" s="28">
        <f>PROGRAMADO!BG56/'Anexo '!$J$23</f>
        <v>0</v>
      </c>
      <c r="BH56" s="28">
        <f>PROGRAMADO!BH56/'Anexo '!$J$23</f>
        <v>0</v>
      </c>
      <c r="BI56" s="28">
        <f>PROGRAMADO!BI56/'Anexo '!$J$23</f>
        <v>0</v>
      </c>
      <c r="BJ56" s="28">
        <f>PROGRAMADO!BJ56/'Anexo '!$J$23</f>
        <v>0</v>
      </c>
      <c r="BK56" s="28">
        <f>PROGRAMADO!BK56/'Anexo '!$J$23</f>
        <v>0</v>
      </c>
      <c r="BL56" s="28">
        <f>PROGRAMADO!BL56/'Anexo '!$J$23</f>
        <v>0</v>
      </c>
      <c r="BM56" s="28">
        <f>PROGRAMADO!BM56/'Anexo '!$K$23</f>
        <v>0</v>
      </c>
      <c r="BN56" s="28">
        <f>PROGRAMADO!BN56/'Anexo '!$K$23</f>
        <v>0</v>
      </c>
      <c r="BO56" s="28">
        <f>PROGRAMADO!BO56/'Anexo '!$K$23</f>
        <v>0</v>
      </c>
      <c r="BP56" s="28">
        <f>PROGRAMADO!BP56/'Anexo '!$K$23</f>
        <v>0</v>
      </c>
      <c r="BQ56" s="28">
        <f>PROGRAMADO!BQ56/'Anexo '!$K$23</f>
        <v>0</v>
      </c>
      <c r="BR56" s="28">
        <f>PROGRAMADO!BR56/'Anexo '!$K$23</f>
        <v>0</v>
      </c>
      <c r="BS56" s="28">
        <f>PROGRAMADO!BS56/'Anexo '!$K$23</f>
        <v>0</v>
      </c>
      <c r="BT56" s="28">
        <f>PROGRAMADO!BT56/'Anexo '!$L$23</f>
        <v>0</v>
      </c>
      <c r="BU56" s="28">
        <f>PROGRAMADO!BU56/'Anexo '!$L$23</f>
        <v>206398.34881320948</v>
      </c>
      <c r="BV56" s="28">
        <f>PROGRAMADO!BV56/'Anexo '!$L$23</f>
        <v>46779.378851388938</v>
      </c>
      <c r="BW56" s="28">
        <f>PROGRAMADO!BW56/'Anexo '!$L$23</f>
        <v>253177.72766459841</v>
      </c>
      <c r="BX56" s="28">
        <f>PROGRAMADO!BX56/'Anexo '!$L$23</f>
        <v>0</v>
      </c>
      <c r="BY56" s="28">
        <f>PROGRAMADO!BY56/'Anexo '!$L$23</f>
        <v>0</v>
      </c>
      <c r="BZ56" s="28">
        <f>PROGRAMADO!BZ56/'Anexo '!$L$23</f>
        <v>0</v>
      </c>
      <c r="CA56" s="28">
        <f>PROGRAMADO!CA56/'Anexo '!$L$23</f>
        <v>253177.72766459841</v>
      </c>
      <c r="CB56" s="28">
        <f>PROGRAMADO!CB56/'Anexo '!$M$23</f>
        <v>0</v>
      </c>
      <c r="CC56" s="28">
        <f>PROGRAMADO!CC56/'Anexo '!$M$23</f>
        <v>137525.04270593656</v>
      </c>
      <c r="CD56" s="28">
        <f>PROGRAMADO!CD56/'Anexo '!$M$23</f>
        <v>355494.75241458113</v>
      </c>
      <c r="CE56" s="28">
        <f>PROGRAMADO!CE56/'Anexo '!$M$23</f>
        <v>493019.79512051767</v>
      </c>
      <c r="CF56" s="28">
        <f>PROGRAMADO!CF56/'Anexo '!$M$23</f>
        <v>0</v>
      </c>
      <c r="CG56" s="28">
        <f>PROGRAMADO!CG56/'Anexo '!$M$23</f>
        <v>0</v>
      </c>
      <c r="CH56" s="28">
        <f>PROGRAMADO!CH56/'Anexo '!$M$23</f>
        <v>0</v>
      </c>
      <c r="CI56" s="29">
        <f>PROGRAMADO!CI56/'Anexo '!$M$23</f>
        <v>493019.79512051767</v>
      </c>
    </row>
    <row r="57" spans="1:87" x14ac:dyDescent="0.25">
      <c r="A57" s="15" t="s">
        <v>95</v>
      </c>
      <c r="B57" s="27">
        <f>PROGRAMADO!B57/'Anexo '!$B$23</f>
        <v>0</v>
      </c>
      <c r="C57" s="28">
        <f>PROGRAMADO!C57/'Anexo '!$B$23</f>
        <v>0</v>
      </c>
      <c r="D57" s="28">
        <f>PROGRAMADO!D57/'Anexo '!$B$23</f>
        <v>0</v>
      </c>
      <c r="E57" s="28">
        <f>PROGRAMADO!E57/'Anexo '!$B$23</f>
        <v>0</v>
      </c>
      <c r="F57" s="28">
        <f>PROGRAMADO!F57/'Anexo '!$B$23</f>
        <v>0</v>
      </c>
      <c r="G57" s="28">
        <f>PROGRAMADO!G57/'Anexo '!$B$23</f>
        <v>0</v>
      </c>
      <c r="H57" s="28">
        <f>PROGRAMADO!H57/'Anexo '!$B$23</f>
        <v>0</v>
      </c>
      <c r="I57" s="28">
        <f>PROGRAMADO!I57/'Anexo '!$C$23</f>
        <v>0</v>
      </c>
      <c r="J57" s="28">
        <f>PROGRAMADO!J57/'Anexo '!$C$23</f>
        <v>0</v>
      </c>
      <c r="K57" s="28">
        <f>PROGRAMADO!K57/'Anexo '!$C$23</f>
        <v>0</v>
      </c>
      <c r="L57" s="28">
        <f>PROGRAMADO!L57/'Anexo '!$C$23</f>
        <v>0</v>
      </c>
      <c r="M57" s="28">
        <f>PROGRAMADO!M57/'Anexo '!$C$23</f>
        <v>0</v>
      </c>
      <c r="N57" s="28">
        <f>PROGRAMADO!N57/'Anexo '!$C$23</f>
        <v>0</v>
      </c>
      <c r="O57" s="28">
        <f>PROGRAMADO!O57/'Anexo '!$C$23</f>
        <v>0</v>
      </c>
      <c r="P57" s="28">
        <f>PROGRAMADO!P57/'Anexo '!$D$23</f>
        <v>0</v>
      </c>
      <c r="Q57" s="28">
        <f>PROGRAMADO!Q57/'Anexo '!$D$23</f>
        <v>0</v>
      </c>
      <c r="R57" s="28">
        <f>PROGRAMADO!R57/'Anexo '!$D$23</f>
        <v>0</v>
      </c>
      <c r="S57" s="28">
        <f>PROGRAMADO!S57/'Anexo '!$D$23</f>
        <v>0</v>
      </c>
      <c r="T57" s="28">
        <f>PROGRAMADO!T57/'Anexo '!$D$23</f>
        <v>0</v>
      </c>
      <c r="U57" s="28">
        <f>PROGRAMADO!U57/'Anexo '!$D$23</f>
        <v>0</v>
      </c>
      <c r="V57" s="28">
        <f>PROGRAMADO!V57/'Anexo '!$D$23</f>
        <v>0</v>
      </c>
      <c r="W57" s="28">
        <f>PROGRAMADO!W57/'Anexo '!$E$23</f>
        <v>0</v>
      </c>
      <c r="X57" s="28">
        <f>PROGRAMADO!X57/'Anexo '!$E$23</f>
        <v>179283.22566379615</v>
      </c>
      <c r="Y57" s="28">
        <f>PROGRAMADO!Y57/'Anexo '!$E$23</f>
        <v>179283.22566379615</v>
      </c>
      <c r="Z57" s="28">
        <f>PROGRAMADO!Z57/'Anexo '!$E$23</f>
        <v>0</v>
      </c>
      <c r="AA57" s="28">
        <f>PROGRAMADO!AA57/'Anexo '!$E$23</f>
        <v>386107.64164868853</v>
      </c>
      <c r="AB57" s="28">
        <f>PROGRAMADO!AB57/'Anexo '!$E$23</f>
        <v>386107.64164868853</v>
      </c>
      <c r="AC57" s="28">
        <f>PROGRAMADO!AC57/'Anexo '!$E$23</f>
        <v>565390.86731248465</v>
      </c>
      <c r="AD57" s="28">
        <f>PROGRAMADO!AD57/'Anexo '!$F$23</f>
        <v>0</v>
      </c>
      <c r="AE57" s="28">
        <f>PROGRAMADO!AE57/'Anexo '!$F$23</f>
        <v>170745.58907228231</v>
      </c>
      <c r="AF57" s="28">
        <f>PROGRAMADO!AF57/'Anexo '!$F$23</f>
        <v>170745.58907228231</v>
      </c>
      <c r="AG57" s="28">
        <f>PROGRAMADO!AG57/'Anexo '!$F$23</f>
        <v>104245.01992031872</v>
      </c>
      <c r="AH57" s="28">
        <f>PROGRAMADO!AH57/'Anexo '!$F$23</f>
        <v>1401659.0210586225</v>
      </c>
      <c r="AI57" s="28">
        <f>PROGRAMADO!AI57/'Anexo '!$F$23</f>
        <v>1505904.0409789414</v>
      </c>
      <c r="AJ57" s="28">
        <f>PROGRAMADO!AJ57/'Anexo '!$F$23</f>
        <v>1676649.6300512236</v>
      </c>
      <c r="AK57" s="28">
        <f>PROGRAMADO!AK57/'Anexo '!$G$23</f>
        <v>0</v>
      </c>
      <c r="AL57" s="28">
        <f>PROGRAMADO!AL57/'Anexo '!$G$23</f>
        <v>201636.44740764832</v>
      </c>
      <c r="AM57" s="28">
        <f>PROGRAMADO!AM57/'Anexo '!$G$23</f>
        <v>201636.44740764832</v>
      </c>
      <c r="AN57" s="28">
        <f>PROGRAMADO!AN57/'Anexo '!$G$23</f>
        <v>53886.115402336232</v>
      </c>
      <c r="AO57" s="28">
        <f>PROGRAMADO!AO57/'Anexo '!$G$23</f>
        <v>947328.72591267584</v>
      </c>
      <c r="AP57" s="28">
        <f>PROGRAMADO!AP57/'Anexo '!$G$23</f>
        <v>1001214.8413150121</v>
      </c>
      <c r="AQ57" s="28">
        <f>PROGRAMADO!AQ57/'Anexo '!$G$23</f>
        <v>1202851.2887226604</v>
      </c>
      <c r="AR57" s="28">
        <f>PROGRAMADO!AR57/'Anexo '!$H$23</f>
        <v>0</v>
      </c>
      <c r="AS57" s="28">
        <f>PROGRAMADO!AS57/'Anexo '!$H$23</f>
        <v>0</v>
      </c>
      <c r="AT57" s="28">
        <f>PROGRAMADO!AT57/'Anexo '!$H$23</f>
        <v>0</v>
      </c>
      <c r="AU57" s="28">
        <f>PROGRAMADO!AU57/'Anexo '!$H$23</f>
        <v>0</v>
      </c>
      <c r="AV57" s="28">
        <f>PROGRAMADO!AV57/'Anexo '!$H$23</f>
        <v>0</v>
      </c>
      <c r="AW57" s="28">
        <f>PROGRAMADO!AW57/'Anexo '!$H$23</f>
        <v>0</v>
      </c>
      <c r="AX57" s="28">
        <f>PROGRAMADO!AX57/'Anexo '!$H$23</f>
        <v>0</v>
      </c>
      <c r="AY57" s="28">
        <f>PROGRAMADO!AY57/'Anexo '!$I$23</f>
        <v>0</v>
      </c>
      <c r="AZ57" s="28">
        <f>PROGRAMADO!AZ57/'Anexo '!$I$23</f>
        <v>0</v>
      </c>
      <c r="BA57" s="28">
        <f>PROGRAMADO!BA57/'Anexo '!$I$23</f>
        <v>0</v>
      </c>
      <c r="BB57" s="28">
        <f>PROGRAMADO!BB57/'Anexo '!$I$23</f>
        <v>0</v>
      </c>
      <c r="BC57" s="28">
        <f>PROGRAMADO!BC57/'Anexo '!$I$23</f>
        <v>0</v>
      </c>
      <c r="BD57" s="28">
        <f>PROGRAMADO!BD57/'Anexo '!$I$23</f>
        <v>0</v>
      </c>
      <c r="BE57" s="28">
        <f>PROGRAMADO!BE57/'Anexo '!$I$23</f>
        <v>0</v>
      </c>
      <c r="BF57" s="28">
        <f>PROGRAMADO!BF57/'Anexo '!$J$23</f>
        <v>0</v>
      </c>
      <c r="BG57" s="28">
        <f>PROGRAMADO!BG57/'Anexo '!$J$23</f>
        <v>0</v>
      </c>
      <c r="BH57" s="28">
        <f>PROGRAMADO!BH57/'Anexo '!$J$23</f>
        <v>0</v>
      </c>
      <c r="BI57" s="28">
        <f>PROGRAMADO!BI57/'Anexo '!$J$23</f>
        <v>0</v>
      </c>
      <c r="BJ57" s="28">
        <f>PROGRAMADO!BJ57/'Anexo '!$J$23</f>
        <v>0</v>
      </c>
      <c r="BK57" s="28">
        <f>PROGRAMADO!BK57/'Anexo '!$J$23</f>
        <v>0</v>
      </c>
      <c r="BL57" s="28">
        <f>PROGRAMADO!BL57/'Anexo '!$J$23</f>
        <v>0</v>
      </c>
      <c r="BM57" s="28">
        <f>PROGRAMADO!BM57/'Anexo '!$K$23</f>
        <v>0</v>
      </c>
      <c r="BN57" s="28">
        <f>PROGRAMADO!BN57/'Anexo '!$K$23</f>
        <v>0</v>
      </c>
      <c r="BO57" s="28">
        <f>PROGRAMADO!BO57/'Anexo '!$K$23</f>
        <v>0</v>
      </c>
      <c r="BP57" s="28">
        <f>PROGRAMADO!BP57/'Anexo '!$K$23</f>
        <v>0</v>
      </c>
      <c r="BQ57" s="28">
        <f>PROGRAMADO!BQ57/'Anexo '!$K$23</f>
        <v>0</v>
      </c>
      <c r="BR57" s="28">
        <f>PROGRAMADO!BR57/'Anexo '!$K$23</f>
        <v>0</v>
      </c>
      <c r="BS57" s="28">
        <f>PROGRAMADO!BS57/'Anexo '!$K$23</f>
        <v>0</v>
      </c>
      <c r="BT57" s="28">
        <f>PROGRAMADO!BT57/'Anexo '!$L$23</f>
        <v>0</v>
      </c>
      <c r="BU57" s="28">
        <f>PROGRAMADO!BU57/'Anexo '!$L$23</f>
        <v>0</v>
      </c>
      <c r="BV57" s="28">
        <f>PROGRAMADO!BV57/'Anexo '!$L$23</f>
        <v>0</v>
      </c>
      <c r="BW57" s="28">
        <f>PROGRAMADO!BW57/'Anexo '!$L$23</f>
        <v>0</v>
      </c>
      <c r="BX57" s="28">
        <f>PROGRAMADO!BX57/'Anexo '!$L$23</f>
        <v>0</v>
      </c>
      <c r="BY57" s="28">
        <f>PROGRAMADO!BY57/'Anexo '!$L$23</f>
        <v>0</v>
      </c>
      <c r="BZ57" s="28">
        <f>PROGRAMADO!BZ57/'Anexo '!$L$23</f>
        <v>0</v>
      </c>
      <c r="CA57" s="28">
        <f>PROGRAMADO!CA57/'Anexo '!$L$23</f>
        <v>0</v>
      </c>
      <c r="CB57" s="28">
        <f>PROGRAMADO!CB57/'Anexo '!$M$23</f>
        <v>0</v>
      </c>
      <c r="CC57" s="28">
        <f>PROGRAMADO!CC57/'Anexo '!$M$23</f>
        <v>0</v>
      </c>
      <c r="CD57" s="28">
        <f>PROGRAMADO!CD57/'Anexo '!$M$23</f>
        <v>0</v>
      </c>
      <c r="CE57" s="28">
        <f>PROGRAMADO!CE57/'Anexo '!$M$23</f>
        <v>0</v>
      </c>
      <c r="CF57" s="28">
        <f>PROGRAMADO!CF57/'Anexo '!$M$23</f>
        <v>0</v>
      </c>
      <c r="CG57" s="28">
        <f>PROGRAMADO!CG57/'Anexo '!$M$23</f>
        <v>0</v>
      </c>
      <c r="CH57" s="28">
        <f>PROGRAMADO!CH57/'Anexo '!$M$23</f>
        <v>0</v>
      </c>
      <c r="CI57" s="29">
        <f>PROGRAMADO!CI57/'Anexo '!$M$23</f>
        <v>0</v>
      </c>
    </row>
    <row r="58" spans="1:87" x14ac:dyDescent="0.25">
      <c r="A58" s="15" t="s">
        <v>96</v>
      </c>
      <c r="B58" s="27">
        <f>PROGRAMADO!B58/'Anexo '!$B$23</f>
        <v>0</v>
      </c>
      <c r="C58" s="28">
        <f>PROGRAMADO!C58/'Anexo '!$B$23</f>
        <v>0</v>
      </c>
      <c r="D58" s="28">
        <f>PROGRAMADO!D58/'Anexo '!$B$23</f>
        <v>0</v>
      </c>
      <c r="E58" s="28">
        <f>PROGRAMADO!E58/'Anexo '!$B$23</f>
        <v>0</v>
      </c>
      <c r="F58" s="28">
        <f>PROGRAMADO!F58/'Anexo '!$B$23</f>
        <v>0</v>
      </c>
      <c r="G58" s="28">
        <f>PROGRAMADO!G58/'Anexo '!$B$23</f>
        <v>0</v>
      </c>
      <c r="H58" s="28">
        <f>PROGRAMADO!H58/'Anexo '!$B$23</f>
        <v>0</v>
      </c>
      <c r="I58" s="28">
        <f>PROGRAMADO!I58/'Anexo '!$C$23</f>
        <v>0</v>
      </c>
      <c r="J58" s="28">
        <f>PROGRAMADO!J58/'Anexo '!$C$23</f>
        <v>0</v>
      </c>
      <c r="K58" s="28">
        <f>PROGRAMADO!K58/'Anexo '!$C$23</f>
        <v>0</v>
      </c>
      <c r="L58" s="28">
        <f>PROGRAMADO!L58/'Anexo '!$C$23</f>
        <v>0</v>
      </c>
      <c r="M58" s="28">
        <f>PROGRAMADO!M58/'Anexo '!$C$23</f>
        <v>0</v>
      </c>
      <c r="N58" s="28">
        <f>PROGRAMADO!N58/'Anexo '!$C$23</f>
        <v>0</v>
      </c>
      <c r="O58" s="28">
        <f>PROGRAMADO!O58/'Anexo '!$C$23</f>
        <v>0</v>
      </c>
      <c r="P58" s="28">
        <f>PROGRAMADO!P58/'Anexo '!$D$23</f>
        <v>0</v>
      </c>
      <c r="Q58" s="28">
        <f>PROGRAMADO!Q58/'Anexo '!$D$23</f>
        <v>0</v>
      </c>
      <c r="R58" s="28">
        <f>PROGRAMADO!R58/'Anexo '!$D$23</f>
        <v>0</v>
      </c>
      <c r="S58" s="28">
        <f>PROGRAMADO!S58/'Anexo '!$D$23</f>
        <v>0</v>
      </c>
      <c r="T58" s="28">
        <f>PROGRAMADO!T58/'Anexo '!$D$23</f>
        <v>0</v>
      </c>
      <c r="U58" s="28">
        <f>PROGRAMADO!U58/'Anexo '!$D$23</f>
        <v>0</v>
      </c>
      <c r="V58" s="28">
        <f>PROGRAMADO!V58/'Anexo '!$D$23</f>
        <v>0</v>
      </c>
      <c r="W58" s="28">
        <f>PROGRAMADO!W58/'Anexo '!$E$23</f>
        <v>0</v>
      </c>
      <c r="X58" s="28">
        <f>PROGRAMADO!X58/'Anexo '!$E$23</f>
        <v>77689.397787644994</v>
      </c>
      <c r="Y58" s="28">
        <f>PROGRAMADO!Y58/'Anexo '!$E$23</f>
        <v>77689.397787644994</v>
      </c>
      <c r="Z58" s="28">
        <f>PROGRAMADO!Z58/'Anexo '!$E$23</f>
        <v>0</v>
      </c>
      <c r="AA58" s="28">
        <f>PROGRAMADO!AA58/'Anexo '!$E$23</f>
        <v>639799.08326510608</v>
      </c>
      <c r="AB58" s="28">
        <f>PROGRAMADO!AB58/'Anexo '!$E$23</f>
        <v>639799.08326510608</v>
      </c>
      <c r="AC58" s="28">
        <f>PROGRAMADO!AC58/'Anexo '!$E$23</f>
        <v>717488.48105275107</v>
      </c>
      <c r="AD58" s="28">
        <f>PROGRAMADO!AD58/'Anexo '!$F$23</f>
        <v>0</v>
      </c>
      <c r="AE58" s="28">
        <f>PROGRAMADO!AE58/'Anexo '!$F$23</f>
        <v>0</v>
      </c>
      <c r="AF58" s="28">
        <f>PROGRAMADO!AF58/'Anexo '!$F$23</f>
        <v>0</v>
      </c>
      <c r="AG58" s="28">
        <f>PROGRAMADO!AG58/'Anexo '!$F$23</f>
        <v>0</v>
      </c>
      <c r="AH58" s="28">
        <f>PROGRAMADO!AH58/'Anexo '!$F$23</f>
        <v>0</v>
      </c>
      <c r="AI58" s="28">
        <f>PROGRAMADO!AI58/'Anexo '!$F$23</f>
        <v>0</v>
      </c>
      <c r="AJ58" s="28">
        <f>PROGRAMADO!AJ58/'Anexo '!$F$23</f>
        <v>0</v>
      </c>
      <c r="AK58" s="28">
        <f>PROGRAMADO!AK58/'Anexo '!$G$23</f>
        <v>0</v>
      </c>
      <c r="AL58" s="28">
        <f>PROGRAMADO!AL58/'Anexo '!$G$23</f>
        <v>0</v>
      </c>
      <c r="AM58" s="28">
        <f>PROGRAMADO!AM58/'Anexo '!$G$23</f>
        <v>0</v>
      </c>
      <c r="AN58" s="28">
        <f>PROGRAMADO!AN58/'Anexo '!$G$23</f>
        <v>0</v>
      </c>
      <c r="AO58" s="28">
        <f>PROGRAMADO!AO58/'Anexo '!$G$23</f>
        <v>0</v>
      </c>
      <c r="AP58" s="28">
        <f>PROGRAMADO!AP58/'Anexo '!$G$23</f>
        <v>0</v>
      </c>
      <c r="AQ58" s="28">
        <f>PROGRAMADO!AQ58/'Anexo '!$G$23</f>
        <v>0</v>
      </c>
      <c r="AR58" s="28">
        <f>PROGRAMADO!AR58/'Anexo '!$H$23</f>
        <v>0</v>
      </c>
      <c r="AS58" s="28">
        <f>PROGRAMADO!AS58/'Anexo '!$H$23</f>
        <v>0</v>
      </c>
      <c r="AT58" s="28">
        <f>PROGRAMADO!AT58/'Anexo '!$H$23</f>
        <v>0</v>
      </c>
      <c r="AU58" s="28">
        <f>PROGRAMADO!AU58/'Anexo '!$H$23</f>
        <v>0</v>
      </c>
      <c r="AV58" s="28">
        <f>PROGRAMADO!AV58/'Anexo '!$H$23</f>
        <v>0</v>
      </c>
      <c r="AW58" s="28">
        <f>PROGRAMADO!AW58/'Anexo '!$H$23</f>
        <v>0</v>
      </c>
      <c r="AX58" s="28">
        <f>PROGRAMADO!AX58/'Anexo '!$H$23</f>
        <v>0</v>
      </c>
      <c r="AY58" s="28">
        <f>PROGRAMADO!AY58/'Anexo '!$I$23</f>
        <v>0</v>
      </c>
      <c r="AZ58" s="28">
        <f>PROGRAMADO!AZ58/'Anexo '!$I$23</f>
        <v>0</v>
      </c>
      <c r="BA58" s="28">
        <f>PROGRAMADO!BA58/'Anexo '!$I$23</f>
        <v>0</v>
      </c>
      <c r="BB58" s="28">
        <f>PROGRAMADO!BB58/'Anexo '!$I$23</f>
        <v>0</v>
      </c>
      <c r="BC58" s="28">
        <f>PROGRAMADO!BC58/'Anexo '!$I$23</f>
        <v>0</v>
      </c>
      <c r="BD58" s="28">
        <f>PROGRAMADO!BD58/'Anexo '!$I$23</f>
        <v>0</v>
      </c>
      <c r="BE58" s="28">
        <f>PROGRAMADO!BE58/'Anexo '!$I$23</f>
        <v>0</v>
      </c>
      <c r="BF58" s="28">
        <f>PROGRAMADO!BF58/'Anexo '!$J$23</f>
        <v>0</v>
      </c>
      <c r="BG58" s="28">
        <f>PROGRAMADO!BG58/'Anexo '!$J$23</f>
        <v>0</v>
      </c>
      <c r="BH58" s="28">
        <f>PROGRAMADO!BH58/'Anexo '!$J$23</f>
        <v>0</v>
      </c>
      <c r="BI58" s="28">
        <f>PROGRAMADO!BI58/'Anexo '!$J$23</f>
        <v>0</v>
      </c>
      <c r="BJ58" s="28">
        <f>PROGRAMADO!BJ58/'Anexo '!$J$23</f>
        <v>0</v>
      </c>
      <c r="BK58" s="28">
        <f>PROGRAMADO!BK58/'Anexo '!$J$23</f>
        <v>0</v>
      </c>
      <c r="BL58" s="28">
        <f>PROGRAMADO!BL58/'Anexo '!$J$23</f>
        <v>0</v>
      </c>
      <c r="BM58" s="28">
        <f>PROGRAMADO!BM58/'Anexo '!$K$23</f>
        <v>0</v>
      </c>
      <c r="BN58" s="28">
        <f>PROGRAMADO!BN58/'Anexo '!$K$23</f>
        <v>0</v>
      </c>
      <c r="BO58" s="28">
        <f>PROGRAMADO!BO58/'Anexo '!$K$23</f>
        <v>0</v>
      </c>
      <c r="BP58" s="28">
        <f>PROGRAMADO!BP58/'Anexo '!$K$23</f>
        <v>0</v>
      </c>
      <c r="BQ58" s="28">
        <f>PROGRAMADO!BQ58/'Anexo '!$K$23</f>
        <v>0</v>
      </c>
      <c r="BR58" s="28">
        <f>PROGRAMADO!BR58/'Anexo '!$K$23</f>
        <v>0</v>
      </c>
      <c r="BS58" s="28">
        <f>PROGRAMADO!BS58/'Anexo '!$K$23</f>
        <v>0</v>
      </c>
      <c r="BT58" s="28">
        <f>PROGRAMADO!BT58/'Anexo '!$L$23</f>
        <v>0</v>
      </c>
      <c r="BU58" s="28">
        <f>PROGRAMADO!BU58/'Anexo '!$L$23</f>
        <v>0</v>
      </c>
      <c r="BV58" s="28">
        <f>PROGRAMADO!BV58/'Anexo '!$L$23</f>
        <v>0</v>
      </c>
      <c r="BW58" s="28">
        <f>PROGRAMADO!BW58/'Anexo '!$L$23</f>
        <v>0</v>
      </c>
      <c r="BX58" s="28">
        <f>PROGRAMADO!BX58/'Anexo '!$L$23</f>
        <v>0</v>
      </c>
      <c r="BY58" s="28">
        <f>PROGRAMADO!BY58/'Anexo '!$L$23</f>
        <v>0</v>
      </c>
      <c r="BZ58" s="28">
        <f>PROGRAMADO!BZ58/'Anexo '!$L$23</f>
        <v>0</v>
      </c>
      <c r="CA58" s="28">
        <f>PROGRAMADO!CA58/'Anexo '!$L$23</f>
        <v>0</v>
      </c>
      <c r="CB58" s="28">
        <f>PROGRAMADO!CB58/'Anexo '!$M$23</f>
        <v>0</v>
      </c>
      <c r="CC58" s="28">
        <f>PROGRAMADO!CC58/'Anexo '!$M$23</f>
        <v>0</v>
      </c>
      <c r="CD58" s="28">
        <f>PROGRAMADO!CD58/'Anexo '!$M$23</f>
        <v>0</v>
      </c>
      <c r="CE58" s="28">
        <f>PROGRAMADO!CE58/'Anexo '!$M$23</f>
        <v>0</v>
      </c>
      <c r="CF58" s="28">
        <f>PROGRAMADO!CF58/'Anexo '!$M$23</f>
        <v>0</v>
      </c>
      <c r="CG58" s="28">
        <f>PROGRAMADO!CG58/'Anexo '!$M$23</f>
        <v>0</v>
      </c>
      <c r="CH58" s="28">
        <f>PROGRAMADO!CH58/'Anexo '!$M$23</f>
        <v>0</v>
      </c>
      <c r="CI58" s="29">
        <f>PROGRAMADO!CI58/'Anexo '!$M$23</f>
        <v>0</v>
      </c>
    </row>
    <row r="59" spans="1:87" x14ac:dyDescent="0.25">
      <c r="A59" s="15" t="s">
        <v>97</v>
      </c>
      <c r="B59" s="27">
        <f>PROGRAMADO!B59/'Anexo '!$B$23</f>
        <v>0</v>
      </c>
      <c r="C59" s="28">
        <f>PROGRAMADO!C59/'Anexo '!$B$23</f>
        <v>0</v>
      </c>
      <c r="D59" s="28">
        <f>PROGRAMADO!D59/'Anexo '!$B$23</f>
        <v>0</v>
      </c>
      <c r="E59" s="28">
        <f>PROGRAMADO!E59/'Anexo '!$B$23</f>
        <v>0</v>
      </c>
      <c r="F59" s="28">
        <f>PROGRAMADO!F59/'Anexo '!$B$23</f>
        <v>0</v>
      </c>
      <c r="G59" s="28">
        <f>PROGRAMADO!G59/'Anexo '!$B$23</f>
        <v>0</v>
      </c>
      <c r="H59" s="28">
        <f>PROGRAMADO!H59/'Anexo '!$B$23</f>
        <v>0</v>
      </c>
      <c r="I59" s="28">
        <f>PROGRAMADO!I59/'Anexo '!$C$23</f>
        <v>0</v>
      </c>
      <c r="J59" s="28">
        <f>PROGRAMADO!J59/'Anexo '!$C$23</f>
        <v>0</v>
      </c>
      <c r="K59" s="28">
        <f>PROGRAMADO!K59/'Anexo '!$C$23</f>
        <v>0</v>
      </c>
      <c r="L59" s="28">
        <f>PROGRAMADO!L59/'Anexo '!$C$23</f>
        <v>0</v>
      </c>
      <c r="M59" s="28">
        <f>PROGRAMADO!M59/'Anexo '!$C$23</f>
        <v>0</v>
      </c>
      <c r="N59" s="28">
        <f>PROGRAMADO!N59/'Anexo '!$C$23</f>
        <v>0</v>
      </c>
      <c r="O59" s="28">
        <f>PROGRAMADO!O59/'Anexo '!$C$23</f>
        <v>0</v>
      </c>
      <c r="P59" s="28">
        <f>PROGRAMADO!P59/'Anexo '!$D$23</f>
        <v>0</v>
      </c>
      <c r="Q59" s="28">
        <f>PROGRAMADO!Q59/'Anexo '!$D$23</f>
        <v>0</v>
      </c>
      <c r="R59" s="28">
        <f>PROGRAMADO!R59/'Anexo '!$D$23</f>
        <v>0</v>
      </c>
      <c r="S59" s="28">
        <f>PROGRAMADO!S59/'Anexo '!$D$23</f>
        <v>0</v>
      </c>
      <c r="T59" s="28">
        <f>PROGRAMADO!T59/'Anexo '!$D$23</f>
        <v>0</v>
      </c>
      <c r="U59" s="28">
        <f>PROGRAMADO!U59/'Anexo '!$D$23</f>
        <v>0</v>
      </c>
      <c r="V59" s="28">
        <f>PROGRAMADO!V59/'Anexo '!$D$23</f>
        <v>0</v>
      </c>
      <c r="W59" s="28">
        <f>PROGRAMADO!W59/'Anexo '!$E$23</f>
        <v>0</v>
      </c>
      <c r="X59" s="28">
        <f>PROGRAMADO!X59/'Anexo '!$E$23</f>
        <v>499004.97809756594</v>
      </c>
      <c r="Y59" s="28">
        <f>PROGRAMADO!Y59/'Anexo '!$E$23</f>
        <v>499004.97809756594</v>
      </c>
      <c r="Z59" s="28">
        <f>PROGRAMADO!Z59/'Anexo '!$E$23</f>
        <v>0</v>
      </c>
      <c r="AA59" s="28">
        <f>PROGRAMADO!AA59/'Anexo '!$E$23</f>
        <v>0</v>
      </c>
      <c r="AB59" s="28">
        <f>PROGRAMADO!AB59/'Anexo '!$E$23</f>
        <v>0</v>
      </c>
      <c r="AC59" s="28">
        <f>PROGRAMADO!AC59/'Anexo '!$E$23</f>
        <v>499004.97809756594</v>
      </c>
      <c r="AD59" s="28">
        <f>PROGRAMADO!AD59/'Anexo '!$F$23</f>
        <v>0</v>
      </c>
      <c r="AE59" s="28">
        <f>PROGRAMADO!AE59/'Anexo '!$F$23</f>
        <v>0</v>
      </c>
      <c r="AF59" s="28">
        <f>PROGRAMADO!AF59/'Anexo '!$F$23</f>
        <v>0</v>
      </c>
      <c r="AG59" s="28">
        <f>PROGRAMADO!AG59/'Anexo '!$F$23</f>
        <v>0</v>
      </c>
      <c r="AH59" s="28">
        <f>PROGRAMADO!AH59/'Anexo '!$F$23</f>
        <v>0</v>
      </c>
      <c r="AI59" s="28">
        <f>PROGRAMADO!AI59/'Anexo '!$F$23</f>
        <v>0</v>
      </c>
      <c r="AJ59" s="28">
        <f>PROGRAMADO!AJ59/'Anexo '!$F$23</f>
        <v>0</v>
      </c>
      <c r="AK59" s="28">
        <f>PROGRAMADO!AK59/'Anexo '!$G$23</f>
        <v>0</v>
      </c>
      <c r="AL59" s="28">
        <f>PROGRAMADO!AL59/'Anexo '!$G$23</f>
        <v>0</v>
      </c>
      <c r="AM59" s="28">
        <f>PROGRAMADO!AM59/'Anexo '!$G$23</f>
        <v>0</v>
      </c>
      <c r="AN59" s="28">
        <f>PROGRAMADO!AN59/'Anexo '!$G$23</f>
        <v>0</v>
      </c>
      <c r="AO59" s="28">
        <f>PROGRAMADO!AO59/'Anexo '!$G$23</f>
        <v>0</v>
      </c>
      <c r="AP59" s="28">
        <f>PROGRAMADO!AP59/'Anexo '!$G$23</f>
        <v>0</v>
      </c>
      <c r="AQ59" s="28">
        <f>PROGRAMADO!AQ59/'Anexo '!$G$23</f>
        <v>0</v>
      </c>
      <c r="AR59" s="28">
        <f>PROGRAMADO!AR59/'Anexo '!$H$23</f>
        <v>0</v>
      </c>
      <c r="AS59" s="28">
        <f>PROGRAMADO!AS59/'Anexo '!$H$23</f>
        <v>0</v>
      </c>
      <c r="AT59" s="28">
        <f>PROGRAMADO!AT59/'Anexo '!$H$23</f>
        <v>0</v>
      </c>
      <c r="AU59" s="28">
        <f>PROGRAMADO!AU59/'Anexo '!$H$23</f>
        <v>0</v>
      </c>
      <c r="AV59" s="28">
        <f>PROGRAMADO!AV59/'Anexo '!$H$23</f>
        <v>0</v>
      </c>
      <c r="AW59" s="28">
        <f>PROGRAMADO!AW59/'Anexo '!$H$23</f>
        <v>0</v>
      </c>
      <c r="AX59" s="28">
        <f>PROGRAMADO!AX59/'Anexo '!$H$23</f>
        <v>0</v>
      </c>
      <c r="AY59" s="28">
        <f>PROGRAMADO!AY59/'Anexo '!$I$23</f>
        <v>0</v>
      </c>
      <c r="AZ59" s="28">
        <f>PROGRAMADO!AZ59/'Anexo '!$I$23</f>
        <v>0</v>
      </c>
      <c r="BA59" s="28">
        <f>PROGRAMADO!BA59/'Anexo '!$I$23</f>
        <v>0</v>
      </c>
      <c r="BB59" s="28">
        <f>PROGRAMADO!BB59/'Anexo '!$I$23</f>
        <v>0</v>
      </c>
      <c r="BC59" s="28">
        <f>PROGRAMADO!BC59/'Anexo '!$I$23</f>
        <v>0</v>
      </c>
      <c r="BD59" s="28">
        <f>PROGRAMADO!BD59/'Anexo '!$I$23</f>
        <v>0</v>
      </c>
      <c r="BE59" s="28">
        <f>PROGRAMADO!BE59/'Anexo '!$I$23</f>
        <v>0</v>
      </c>
      <c r="BF59" s="28">
        <f>PROGRAMADO!BF59/'Anexo '!$J$23</f>
        <v>0</v>
      </c>
      <c r="BG59" s="28">
        <f>PROGRAMADO!BG59/'Anexo '!$J$23</f>
        <v>0</v>
      </c>
      <c r="BH59" s="28">
        <f>PROGRAMADO!BH59/'Anexo '!$J$23</f>
        <v>0</v>
      </c>
      <c r="BI59" s="28">
        <f>PROGRAMADO!BI59/'Anexo '!$J$23</f>
        <v>0</v>
      </c>
      <c r="BJ59" s="28">
        <f>PROGRAMADO!BJ59/'Anexo '!$J$23</f>
        <v>0</v>
      </c>
      <c r="BK59" s="28">
        <f>PROGRAMADO!BK59/'Anexo '!$J$23</f>
        <v>0</v>
      </c>
      <c r="BL59" s="28">
        <f>PROGRAMADO!BL59/'Anexo '!$J$23</f>
        <v>0</v>
      </c>
      <c r="BM59" s="28">
        <f>PROGRAMADO!BM59/'Anexo '!$K$23</f>
        <v>0</v>
      </c>
      <c r="BN59" s="28">
        <f>PROGRAMADO!BN59/'Anexo '!$K$23</f>
        <v>0</v>
      </c>
      <c r="BO59" s="28">
        <f>PROGRAMADO!BO59/'Anexo '!$K$23</f>
        <v>0</v>
      </c>
      <c r="BP59" s="28">
        <f>PROGRAMADO!BP59/'Anexo '!$K$23</f>
        <v>0</v>
      </c>
      <c r="BQ59" s="28">
        <f>PROGRAMADO!BQ59/'Anexo '!$K$23</f>
        <v>0</v>
      </c>
      <c r="BR59" s="28">
        <f>PROGRAMADO!BR59/'Anexo '!$K$23</f>
        <v>0</v>
      </c>
      <c r="BS59" s="28">
        <f>PROGRAMADO!BS59/'Anexo '!$K$23</f>
        <v>0</v>
      </c>
      <c r="BT59" s="28">
        <f>PROGRAMADO!BT59/'Anexo '!$L$23</f>
        <v>0</v>
      </c>
      <c r="BU59" s="28">
        <f>PROGRAMADO!BU59/'Anexo '!$L$23</f>
        <v>0</v>
      </c>
      <c r="BV59" s="28">
        <f>PROGRAMADO!BV59/'Anexo '!$L$23</f>
        <v>0</v>
      </c>
      <c r="BW59" s="28">
        <f>PROGRAMADO!BW59/'Anexo '!$L$23</f>
        <v>0</v>
      </c>
      <c r="BX59" s="28">
        <f>PROGRAMADO!BX59/'Anexo '!$L$23</f>
        <v>0</v>
      </c>
      <c r="BY59" s="28">
        <f>PROGRAMADO!BY59/'Anexo '!$L$23</f>
        <v>0</v>
      </c>
      <c r="BZ59" s="28">
        <f>PROGRAMADO!BZ59/'Anexo '!$L$23</f>
        <v>0</v>
      </c>
      <c r="CA59" s="28">
        <f>PROGRAMADO!CA59/'Anexo '!$L$23</f>
        <v>0</v>
      </c>
      <c r="CB59" s="28">
        <f>PROGRAMADO!CB59/'Anexo '!$M$23</f>
        <v>0</v>
      </c>
      <c r="CC59" s="28">
        <f>PROGRAMADO!CC59/'Anexo '!$M$23</f>
        <v>0</v>
      </c>
      <c r="CD59" s="28">
        <f>PROGRAMADO!CD59/'Anexo '!$M$23</f>
        <v>0</v>
      </c>
      <c r="CE59" s="28">
        <f>PROGRAMADO!CE59/'Anexo '!$M$23</f>
        <v>0</v>
      </c>
      <c r="CF59" s="28">
        <f>PROGRAMADO!CF59/'Anexo '!$M$23</f>
        <v>0</v>
      </c>
      <c r="CG59" s="28">
        <f>PROGRAMADO!CG59/'Anexo '!$M$23</f>
        <v>0</v>
      </c>
      <c r="CH59" s="28">
        <f>PROGRAMADO!CH59/'Anexo '!$M$23</f>
        <v>0</v>
      </c>
      <c r="CI59" s="29">
        <f>PROGRAMADO!CI59/'Anexo '!$M$23</f>
        <v>0</v>
      </c>
    </row>
    <row r="60" spans="1:87" x14ac:dyDescent="0.25">
      <c r="A60" s="15" t="s">
        <v>43</v>
      </c>
      <c r="B60" s="27">
        <f>PROGRAMADO!B60/'Anexo '!$B$23</f>
        <v>0</v>
      </c>
      <c r="C60" s="28">
        <f>PROGRAMADO!C60/'Anexo '!$B$23</f>
        <v>0</v>
      </c>
      <c r="D60" s="28">
        <f>PROGRAMADO!D60/'Anexo '!$B$23</f>
        <v>0</v>
      </c>
      <c r="E60" s="28">
        <f>PROGRAMADO!E60/'Anexo '!$B$23</f>
        <v>0</v>
      </c>
      <c r="F60" s="28">
        <f>PROGRAMADO!F60/'Anexo '!$B$23</f>
        <v>0</v>
      </c>
      <c r="G60" s="28">
        <f>PROGRAMADO!G60/'Anexo '!$B$23</f>
        <v>0</v>
      </c>
      <c r="H60" s="28">
        <f>PROGRAMADO!H60/'Anexo '!$B$23</f>
        <v>0</v>
      </c>
      <c r="I60" s="28">
        <f>PROGRAMADO!I60/'Anexo '!$C$23</f>
        <v>0</v>
      </c>
      <c r="J60" s="28">
        <f>PROGRAMADO!J60/'Anexo '!$C$23</f>
        <v>0</v>
      </c>
      <c r="K60" s="28">
        <f>PROGRAMADO!K60/'Anexo '!$C$23</f>
        <v>0</v>
      </c>
      <c r="L60" s="28">
        <f>PROGRAMADO!L60/'Anexo '!$C$23</f>
        <v>0</v>
      </c>
      <c r="M60" s="28">
        <f>PROGRAMADO!M60/'Anexo '!$C$23</f>
        <v>0</v>
      </c>
      <c r="N60" s="28">
        <f>PROGRAMADO!N60/'Anexo '!$C$23</f>
        <v>0</v>
      </c>
      <c r="O60" s="28">
        <f>PROGRAMADO!O60/'Anexo '!$C$23</f>
        <v>0</v>
      </c>
      <c r="P60" s="28">
        <f>PROGRAMADO!P60/'Anexo '!$D$23</f>
        <v>0</v>
      </c>
      <c r="Q60" s="28">
        <f>PROGRAMADO!Q60/'Anexo '!$D$23</f>
        <v>0</v>
      </c>
      <c r="R60" s="28">
        <f>PROGRAMADO!R60/'Anexo '!$D$23</f>
        <v>0</v>
      </c>
      <c r="S60" s="28">
        <f>PROGRAMADO!S60/'Anexo '!$D$23</f>
        <v>0</v>
      </c>
      <c r="T60" s="28">
        <f>PROGRAMADO!T60/'Anexo '!$D$23</f>
        <v>0</v>
      </c>
      <c r="U60" s="28">
        <f>PROGRAMADO!U60/'Anexo '!$D$23</f>
        <v>0</v>
      </c>
      <c r="V60" s="28">
        <f>PROGRAMADO!V60/'Anexo '!$D$23</f>
        <v>0</v>
      </c>
      <c r="W60" s="28">
        <f>PROGRAMADO!W60/'Anexo '!$E$23</f>
        <v>0</v>
      </c>
      <c r="X60" s="28">
        <f>PROGRAMADO!X60/'Anexo '!$E$23</f>
        <v>225813.79644182557</v>
      </c>
      <c r="Y60" s="28">
        <f>PROGRAMADO!Y60/'Anexo '!$E$23</f>
        <v>225813.79644182557</v>
      </c>
      <c r="Z60" s="28">
        <f>PROGRAMADO!Z60/'Anexo '!$E$23</f>
        <v>0</v>
      </c>
      <c r="AA60" s="28">
        <f>PROGRAMADO!AA60/'Anexo '!$E$23</f>
        <v>1742121.8169757309</v>
      </c>
      <c r="AB60" s="28">
        <f>PROGRAMADO!AB60/'Anexo '!$E$23</f>
        <v>1742121.8169757309</v>
      </c>
      <c r="AC60" s="28">
        <f>PROGRAMADO!AC60/'Anexo '!$E$23</f>
        <v>1967935.6134175567</v>
      </c>
      <c r="AD60" s="28">
        <f>PROGRAMADO!AD60/'Anexo '!$F$23</f>
        <v>0</v>
      </c>
      <c r="AE60" s="28">
        <f>PROGRAMADO!AE60/'Anexo '!$F$23</f>
        <v>110095.67444507683</v>
      </c>
      <c r="AF60" s="28">
        <f>PROGRAMADO!AF60/'Anexo '!$F$23</f>
        <v>110095.67444507683</v>
      </c>
      <c r="AG60" s="28">
        <f>PROGRAMADO!AG60/'Anexo '!$F$23</f>
        <v>0</v>
      </c>
      <c r="AH60" s="28">
        <f>PROGRAMADO!AH60/'Anexo '!$F$23</f>
        <v>687051.79282868525</v>
      </c>
      <c r="AI60" s="28">
        <f>PROGRAMADO!AI60/'Anexo '!$F$23</f>
        <v>687051.79282868525</v>
      </c>
      <c r="AJ60" s="28">
        <f>PROGRAMADO!AJ60/'Anexo '!$F$23</f>
        <v>797147.4672737621</v>
      </c>
      <c r="AK60" s="28">
        <f>PROGRAMADO!AK60/'Anexo '!$G$23</f>
        <v>0</v>
      </c>
      <c r="AL60" s="28">
        <f>PROGRAMADO!AL60/'Anexo '!$G$23</f>
        <v>113537.46917093532</v>
      </c>
      <c r="AM60" s="28">
        <f>PROGRAMADO!AM60/'Anexo '!$G$23</f>
        <v>113537.46917093532</v>
      </c>
      <c r="AN60" s="28">
        <f>PROGRAMADO!AN60/'Anexo '!$G$23</f>
        <v>0</v>
      </c>
      <c r="AO60" s="28">
        <f>PROGRAMADO!AO60/'Anexo '!$G$23</f>
        <v>599618.99341409875</v>
      </c>
      <c r="AP60" s="28">
        <f>PROGRAMADO!AP60/'Anexo '!$G$23</f>
        <v>599618.99341409875</v>
      </c>
      <c r="AQ60" s="28">
        <f>PROGRAMADO!AQ60/'Anexo '!$G$23</f>
        <v>713156.46258503408</v>
      </c>
      <c r="AR60" s="28">
        <f>PROGRAMADO!AR60/'Anexo '!$H$23</f>
        <v>0</v>
      </c>
      <c r="AS60" s="28">
        <f>PROGRAMADO!AS60/'Anexo '!$H$23</f>
        <v>0</v>
      </c>
      <c r="AT60" s="28">
        <f>PROGRAMADO!AT60/'Anexo '!$H$23</f>
        <v>0</v>
      </c>
      <c r="AU60" s="28">
        <f>PROGRAMADO!AU60/'Anexo '!$H$23</f>
        <v>0</v>
      </c>
      <c r="AV60" s="28">
        <f>PROGRAMADO!AV60/'Anexo '!$H$23</f>
        <v>0</v>
      </c>
      <c r="AW60" s="28">
        <f>PROGRAMADO!AW60/'Anexo '!$H$23</f>
        <v>0</v>
      </c>
      <c r="AX60" s="28">
        <f>PROGRAMADO!AX60/'Anexo '!$H$23</f>
        <v>0</v>
      </c>
      <c r="AY60" s="28">
        <f>PROGRAMADO!AY60/'Anexo '!$I$23</f>
        <v>0</v>
      </c>
      <c r="AZ60" s="28">
        <f>PROGRAMADO!AZ60/'Anexo '!$I$23</f>
        <v>34926.190464486383</v>
      </c>
      <c r="BA60" s="28">
        <f>PROGRAMADO!BA60/'Anexo '!$I$23</f>
        <v>34926.190464486383</v>
      </c>
      <c r="BB60" s="28">
        <f>PROGRAMADO!BB60/'Anexo '!$I$23</f>
        <v>0</v>
      </c>
      <c r="BC60" s="28">
        <f>PROGRAMADO!BC60/'Anexo '!$I$23</f>
        <v>898102.04051536403</v>
      </c>
      <c r="BD60" s="28">
        <f>PROGRAMADO!BD60/'Anexo '!$I$23</f>
        <v>898102.04051536403</v>
      </c>
      <c r="BE60" s="28">
        <f>PROGRAMADO!BE60/'Anexo '!$I$23</f>
        <v>933028.2309798504</v>
      </c>
      <c r="BF60" s="28">
        <f>PROGRAMADO!BF60/'Anexo '!$J$23</f>
        <v>0</v>
      </c>
      <c r="BG60" s="28">
        <f>PROGRAMADO!BG60/'Anexo '!$J$23</f>
        <v>79086.3160457755</v>
      </c>
      <c r="BH60" s="28">
        <f>PROGRAMADO!BH60/'Anexo '!$J$23</f>
        <v>79086.3160457755</v>
      </c>
      <c r="BI60" s="28">
        <f>PROGRAMADO!BI60/'Anexo '!$J$23</f>
        <v>0</v>
      </c>
      <c r="BJ60" s="28">
        <f>PROGRAMADO!BJ60/'Anexo '!$J$23</f>
        <v>1618438.5945196755</v>
      </c>
      <c r="BK60" s="28">
        <f>PROGRAMADO!BK60/'Anexo '!$J$23</f>
        <v>1618438.5945196755</v>
      </c>
      <c r="BL60" s="28">
        <f>PROGRAMADO!BL60/'Anexo '!$J$23</f>
        <v>1697524.910565451</v>
      </c>
      <c r="BM60" s="28">
        <f>PROGRAMADO!BM60/'Anexo '!$K$23</f>
        <v>0</v>
      </c>
      <c r="BN60" s="28">
        <f>PROGRAMADO!BN60/'Anexo '!$K$23</f>
        <v>12678.701230361707</v>
      </c>
      <c r="BO60" s="28">
        <f>PROGRAMADO!BO60/'Anexo '!$K$23</f>
        <v>12678.701230361707</v>
      </c>
      <c r="BP60" s="28">
        <f>PROGRAMADO!BP60/'Anexo '!$K$23</f>
        <v>0</v>
      </c>
      <c r="BQ60" s="28">
        <f>PROGRAMADO!BQ60/'Anexo '!$K$23</f>
        <v>852487.25712731283</v>
      </c>
      <c r="BR60" s="28">
        <f>PROGRAMADO!BR60/'Anexo '!$K$23</f>
        <v>852487.25712731283</v>
      </c>
      <c r="BS60" s="28">
        <f>PROGRAMADO!BS60/'Anexo '!$K$23</f>
        <v>865165.95835767454</v>
      </c>
      <c r="BT60" s="28">
        <f>PROGRAMADO!BT60/'Anexo '!$L$23</f>
        <v>0</v>
      </c>
      <c r="BU60" s="28">
        <f>PROGRAMADO!BU60/'Anexo '!$L$23</f>
        <v>13844.827512984833</v>
      </c>
      <c r="BV60" s="28">
        <f>PROGRAMADO!BV60/'Anexo '!$L$23</f>
        <v>0</v>
      </c>
      <c r="BW60" s="28">
        <f>PROGRAMADO!BW60/'Anexo '!$L$23</f>
        <v>13844.827512984833</v>
      </c>
      <c r="BX60" s="28">
        <f>PROGRAMADO!BX60/'Anexo '!$L$23</f>
        <v>0</v>
      </c>
      <c r="BY60" s="28">
        <f>PROGRAMADO!BY60/'Anexo '!$L$23</f>
        <v>1002943.0875664105</v>
      </c>
      <c r="BZ60" s="28">
        <f>PROGRAMADO!BZ60/'Anexo '!$L$23</f>
        <v>1002943.0875664105</v>
      </c>
      <c r="CA60" s="28">
        <f>PROGRAMADO!CA60/'Anexo '!$L$23</f>
        <v>1016787.9150793954</v>
      </c>
      <c r="CB60" s="28">
        <f>PROGRAMADO!CB60/'Anexo '!$M$23</f>
        <v>0</v>
      </c>
      <c r="CC60" s="28">
        <f>PROGRAMADO!CC60/'Anexo '!$M$23</f>
        <v>2512.7847729473224</v>
      </c>
      <c r="CD60" s="28">
        <f>PROGRAMADO!CD60/'Anexo '!$M$23</f>
        <v>0</v>
      </c>
      <c r="CE60" s="28">
        <f>PROGRAMADO!CE60/'Anexo '!$M$23</f>
        <v>2512.7847729473224</v>
      </c>
      <c r="CF60" s="28">
        <f>PROGRAMADO!CF60/'Anexo '!$M$23</f>
        <v>0</v>
      </c>
      <c r="CG60" s="28">
        <f>PROGRAMADO!CG60/'Anexo '!$M$23</f>
        <v>255495.19734680615</v>
      </c>
      <c r="CH60" s="28">
        <f>PROGRAMADO!CH60/'Anexo '!$M$23</f>
        <v>255495.19734680615</v>
      </c>
      <c r="CI60" s="29">
        <f>PROGRAMADO!CI60/'Anexo '!$M$23</f>
        <v>258007.98211975346</v>
      </c>
    </row>
    <row r="61" spans="1:87" x14ac:dyDescent="0.25">
      <c r="A61" s="15" t="s">
        <v>98</v>
      </c>
      <c r="B61" s="27">
        <f>PROGRAMADO!B61/'Anexo '!$B$23</f>
        <v>0</v>
      </c>
      <c r="C61" s="28">
        <f>PROGRAMADO!C61/'Anexo '!$B$23</f>
        <v>0</v>
      </c>
      <c r="D61" s="28">
        <f>PROGRAMADO!D61/'Anexo '!$B$23</f>
        <v>0</v>
      </c>
      <c r="E61" s="28">
        <f>PROGRAMADO!E61/'Anexo '!$B$23</f>
        <v>0</v>
      </c>
      <c r="F61" s="28">
        <f>PROGRAMADO!F61/'Anexo '!$B$23</f>
        <v>0</v>
      </c>
      <c r="G61" s="28">
        <f>PROGRAMADO!G61/'Anexo '!$B$23</f>
        <v>0</v>
      </c>
      <c r="H61" s="28">
        <f>PROGRAMADO!H61/'Anexo '!$B$23</f>
        <v>0</v>
      </c>
      <c r="I61" s="28">
        <f>PROGRAMADO!I61/'Anexo '!$C$23</f>
        <v>0</v>
      </c>
      <c r="J61" s="28">
        <f>PROGRAMADO!J61/'Anexo '!$C$23</f>
        <v>0</v>
      </c>
      <c r="K61" s="28">
        <f>PROGRAMADO!K61/'Anexo '!$C$23</f>
        <v>0</v>
      </c>
      <c r="L61" s="28">
        <f>PROGRAMADO!L61/'Anexo '!$C$23</f>
        <v>0</v>
      </c>
      <c r="M61" s="28">
        <f>PROGRAMADO!M61/'Anexo '!$C$23</f>
        <v>0</v>
      </c>
      <c r="N61" s="28">
        <f>PROGRAMADO!N61/'Anexo '!$C$23</f>
        <v>0</v>
      </c>
      <c r="O61" s="28">
        <f>PROGRAMADO!O61/'Anexo '!$C$23</f>
        <v>0</v>
      </c>
      <c r="P61" s="28">
        <f>PROGRAMADO!P61/'Anexo '!$D$23</f>
        <v>0</v>
      </c>
      <c r="Q61" s="28">
        <f>PROGRAMADO!Q61/'Anexo '!$D$23</f>
        <v>0</v>
      </c>
      <c r="R61" s="28">
        <f>PROGRAMADO!R61/'Anexo '!$D$23</f>
        <v>0</v>
      </c>
      <c r="S61" s="28">
        <f>PROGRAMADO!S61/'Anexo '!$D$23</f>
        <v>0</v>
      </c>
      <c r="T61" s="28">
        <f>PROGRAMADO!T61/'Anexo '!$D$23</f>
        <v>0</v>
      </c>
      <c r="U61" s="28">
        <f>PROGRAMADO!U61/'Anexo '!$D$23</f>
        <v>0</v>
      </c>
      <c r="V61" s="28">
        <f>PROGRAMADO!V61/'Anexo '!$D$23</f>
        <v>0</v>
      </c>
      <c r="W61" s="28">
        <f>PROGRAMADO!W61/'Anexo '!$E$23</f>
        <v>0</v>
      </c>
      <c r="X61" s="28">
        <f>PROGRAMADO!X61/'Anexo '!$E$23</f>
        <v>59761.075221265382</v>
      </c>
      <c r="Y61" s="28">
        <f>PROGRAMADO!Y61/'Anexo '!$E$23</f>
        <v>59761.075221265382</v>
      </c>
      <c r="Z61" s="28">
        <f>PROGRAMADO!Z61/'Anexo '!$E$23</f>
        <v>0</v>
      </c>
      <c r="AA61" s="28">
        <f>PROGRAMADO!AA61/'Anexo '!$E$23</f>
        <v>0</v>
      </c>
      <c r="AB61" s="28">
        <f>PROGRAMADO!AB61/'Anexo '!$E$23</f>
        <v>0</v>
      </c>
      <c r="AC61" s="28">
        <f>PROGRAMADO!AC61/'Anexo '!$E$23</f>
        <v>59761.075221265382</v>
      </c>
      <c r="AD61" s="28">
        <f>PROGRAMADO!AD61/'Anexo '!$F$23</f>
        <v>0</v>
      </c>
      <c r="AE61" s="28">
        <f>PROGRAMADO!AE61/'Anexo '!$F$23</f>
        <v>0</v>
      </c>
      <c r="AF61" s="28">
        <f>PROGRAMADO!AF61/'Anexo '!$F$23</f>
        <v>0</v>
      </c>
      <c r="AG61" s="28">
        <f>PROGRAMADO!AG61/'Anexo '!$F$23</f>
        <v>0</v>
      </c>
      <c r="AH61" s="28">
        <f>PROGRAMADO!AH61/'Anexo '!$F$23</f>
        <v>0</v>
      </c>
      <c r="AI61" s="28">
        <f>PROGRAMADO!AI61/'Anexo '!$F$23</f>
        <v>0</v>
      </c>
      <c r="AJ61" s="28">
        <f>PROGRAMADO!AJ61/'Anexo '!$F$23</f>
        <v>0</v>
      </c>
      <c r="AK61" s="28">
        <f>PROGRAMADO!AK61/'Anexo '!$G$23</f>
        <v>0</v>
      </c>
      <c r="AL61" s="28">
        <f>PROGRAMADO!AL61/'Anexo '!$G$23</f>
        <v>54204.948911835651</v>
      </c>
      <c r="AM61" s="28">
        <f>PROGRAMADO!AM61/'Anexo '!$G$23</f>
        <v>54204.948911835651</v>
      </c>
      <c r="AN61" s="28">
        <f>PROGRAMADO!AN61/'Anexo '!$G$23</f>
        <v>0</v>
      </c>
      <c r="AO61" s="28">
        <f>PROGRAMADO!AO61/'Anexo '!$G$23</f>
        <v>0</v>
      </c>
      <c r="AP61" s="28">
        <f>PROGRAMADO!AP61/'Anexo '!$G$23</f>
        <v>0</v>
      </c>
      <c r="AQ61" s="28">
        <f>PROGRAMADO!AQ61/'Anexo '!$G$23</f>
        <v>54204.948911835651</v>
      </c>
      <c r="AR61" s="28">
        <f>PROGRAMADO!AR61/'Anexo '!$H$23</f>
        <v>0</v>
      </c>
      <c r="AS61" s="28">
        <f>PROGRAMADO!AS61/'Anexo '!$H$23</f>
        <v>0</v>
      </c>
      <c r="AT61" s="28">
        <f>PROGRAMADO!AT61/'Anexo '!$H$23</f>
        <v>0</v>
      </c>
      <c r="AU61" s="28">
        <f>PROGRAMADO!AU61/'Anexo '!$H$23</f>
        <v>0</v>
      </c>
      <c r="AV61" s="28">
        <f>PROGRAMADO!AV61/'Anexo '!$H$23</f>
        <v>0</v>
      </c>
      <c r="AW61" s="28">
        <f>PROGRAMADO!AW61/'Anexo '!$H$23</f>
        <v>0</v>
      </c>
      <c r="AX61" s="28">
        <f>PROGRAMADO!AX61/'Anexo '!$H$23</f>
        <v>0</v>
      </c>
      <c r="AY61" s="28">
        <f>PROGRAMADO!AY61/'Anexo '!$I$23</f>
        <v>0</v>
      </c>
      <c r="AZ61" s="28">
        <f>PROGRAMADO!AZ61/'Anexo '!$I$23</f>
        <v>0</v>
      </c>
      <c r="BA61" s="28">
        <f>PROGRAMADO!BA61/'Anexo '!$I$23</f>
        <v>0</v>
      </c>
      <c r="BB61" s="28">
        <f>PROGRAMADO!BB61/'Anexo '!$I$23</f>
        <v>0</v>
      </c>
      <c r="BC61" s="28">
        <f>PROGRAMADO!BC61/'Anexo '!$I$23</f>
        <v>0</v>
      </c>
      <c r="BD61" s="28">
        <f>PROGRAMADO!BD61/'Anexo '!$I$23</f>
        <v>0</v>
      </c>
      <c r="BE61" s="28">
        <f>PROGRAMADO!BE61/'Anexo '!$I$23</f>
        <v>0</v>
      </c>
      <c r="BF61" s="28">
        <f>PROGRAMADO!BF61/'Anexo '!$J$23</f>
        <v>0</v>
      </c>
      <c r="BG61" s="28">
        <f>PROGRAMADO!BG61/'Anexo '!$J$23</f>
        <v>0</v>
      </c>
      <c r="BH61" s="28">
        <f>PROGRAMADO!BH61/'Anexo '!$J$23</f>
        <v>0</v>
      </c>
      <c r="BI61" s="28">
        <f>PROGRAMADO!BI61/'Anexo '!$J$23</f>
        <v>0</v>
      </c>
      <c r="BJ61" s="28">
        <f>PROGRAMADO!BJ61/'Anexo '!$J$23</f>
        <v>0</v>
      </c>
      <c r="BK61" s="28">
        <f>PROGRAMADO!BK61/'Anexo '!$J$23</f>
        <v>0</v>
      </c>
      <c r="BL61" s="28">
        <f>PROGRAMADO!BL61/'Anexo '!$J$23</f>
        <v>0</v>
      </c>
      <c r="BM61" s="28">
        <f>PROGRAMADO!BM61/'Anexo '!$K$23</f>
        <v>0</v>
      </c>
      <c r="BN61" s="28">
        <f>PROGRAMADO!BN61/'Anexo '!$K$23</f>
        <v>0</v>
      </c>
      <c r="BO61" s="28">
        <f>PROGRAMADO!BO61/'Anexo '!$K$23</f>
        <v>0</v>
      </c>
      <c r="BP61" s="28">
        <f>PROGRAMADO!BP61/'Anexo '!$K$23</f>
        <v>0</v>
      </c>
      <c r="BQ61" s="28">
        <f>PROGRAMADO!BQ61/'Anexo '!$K$23</f>
        <v>0</v>
      </c>
      <c r="BR61" s="28">
        <f>PROGRAMADO!BR61/'Anexo '!$K$23</f>
        <v>0</v>
      </c>
      <c r="BS61" s="28">
        <f>PROGRAMADO!BS61/'Anexo '!$K$23</f>
        <v>0</v>
      </c>
      <c r="BT61" s="28">
        <f>PROGRAMADO!BT61/'Anexo '!$L$23</f>
        <v>0</v>
      </c>
      <c r="BU61" s="28">
        <f>PROGRAMADO!BU61/'Anexo '!$L$23</f>
        <v>0</v>
      </c>
      <c r="BV61" s="28">
        <f>PROGRAMADO!BV61/'Anexo '!$L$23</f>
        <v>0</v>
      </c>
      <c r="BW61" s="28">
        <f>PROGRAMADO!BW61/'Anexo '!$L$23</f>
        <v>0</v>
      </c>
      <c r="BX61" s="28">
        <f>PROGRAMADO!BX61/'Anexo '!$L$23</f>
        <v>0</v>
      </c>
      <c r="BY61" s="28">
        <f>PROGRAMADO!BY61/'Anexo '!$L$23</f>
        <v>0</v>
      </c>
      <c r="BZ61" s="28">
        <f>PROGRAMADO!BZ61/'Anexo '!$L$23</f>
        <v>0</v>
      </c>
      <c r="CA61" s="28">
        <f>PROGRAMADO!CA61/'Anexo '!$L$23</f>
        <v>0</v>
      </c>
      <c r="CB61" s="28">
        <f>PROGRAMADO!CB61/'Anexo '!$M$23</f>
        <v>0</v>
      </c>
      <c r="CC61" s="28">
        <f>PROGRAMADO!CC61/'Anexo '!$M$23</f>
        <v>0</v>
      </c>
      <c r="CD61" s="28">
        <f>PROGRAMADO!CD61/'Anexo '!$M$23</f>
        <v>0</v>
      </c>
      <c r="CE61" s="28">
        <f>PROGRAMADO!CE61/'Anexo '!$M$23</f>
        <v>0</v>
      </c>
      <c r="CF61" s="28">
        <f>PROGRAMADO!CF61/'Anexo '!$M$23</f>
        <v>0</v>
      </c>
      <c r="CG61" s="28">
        <f>PROGRAMADO!CG61/'Anexo '!$M$23</f>
        <v>0</v>
      </c>
      <c r="CH61" s="28">
        <f>PROGRAMADO!CH61/'Anexo '!$M$23</f>
        <v>0</v>
      </c>
      <c r="CI61" s="29">
        <f>PROGRAMADO!CI61/'Anexo '!$M$23</f>
        <v>0</v>
      </c>
    </row>
    <row r="62" spans="1:87" x14ac:dyDescent="0.25">
      <c r="A62" s="15" t="s">
        <v>99</v>
      </c>
      <c r="B62" s="27">
        <f>PROGRAMADO!B62/'Anexo '!$B$23</f>
        <v>0</v>
      </c>
      <c r="C62" s="28">
        <f>PROGRAMADO!C62/'Anexo '!$B$23</f>
        <v>0</v>
      </c>
      <c r="D62" s="28">
        <f>PROGRAMADO!D62/'Anexo '!$B$23</f>
        <v>0</v>
      </c>
      <c r="E62" s="28">
        <f>PROGRAMADO!E62/'Anexo '!$B$23</f>
        <v>0</v>
      </c>
      <c r="F62" s="28">
        <f>PROGRAMADO!F62/'Anexo '!$B$23</f>
        <v>0</v>
      </c>
      <c r="G62" s="28">
        <f>PROGRAMADO!G62/'Anexo '!$B$23</f>
        <v>0</v>
      </c>
      <c r="H62" s="28">
        <f>PROGRAMADO!H62/'Anexo '!$B$23</f>
        <v>0</v>
      </c>
      <c r="I62" s="28">
        <f>PROGRAMADO!I62/'Anexo '!$C$23</f>
        <v>0</v>
      </c>
      <c r="J62" s="28">
        <f>PROGRAMADO!J62/'Anexo '!$C$23</f>
        <v>0</v>
      </c>
      <c r="K62" s="28">
        <f>PROGRAMADO!K62/'Anexo '!$C$23</f>
        <v>0</v>
      </c>
      <c r="L62" s="28">
        <f>PROGRAMADO!L62/'Anexo '!$C$23</f>
        <v>0</v>
      </c>
      <c r="M62" s="28">
        <f>PROGRAMADO!M62/'Anexo '!$C$23</f>
        <v>0</v>
      </c>
      <c r="N62" s="28">
        <f>PROGRAMADO!N62/'Anexo '!$C$23</f>
        <v>0</v>
      </c>
      <c r="O62" s="28">
        <f>PROGRAMADO!O62/'Anexo '!$C$23</f>
        <v>0</v>
      </c>
      <c r="P62" s="28">
        <f>PROGRAMADO!P62/'Anexo '!$D$23</f>
        <v>0</v>
      </c>
      <c r="Q62" s="28">
        <f>PROGRAMADO!Q62/'Anexo '!$D$23</f>
        <v>0</v>
      </c>
      <c r="R62" s="28">
        <f>PROGRAMADO!R62/'Anexo '!$D$23</f>
        <v>0</v>
      </c>
      <c r="S62" s="28">
        <f>PROGRAMADO!S62/'Anexo '!$D$23</f>
        <v>0</v>
      </c>
      <c r="T62" s="28">
        <f>PROGRAMADO!T62/'Anexo '!$D$23</f>
        <v>0</v>
      </c>
      <c r="U62" s="28">
        <f>PROGRAMADO!U62/'Anexo '!$D$23</f>
        <v>0</v>
      </c>
      <c r="V62" s="28">
        <f>PROGRAMADO!V62/'Anexo '!$D$23</f>
        <v>0</v>
      </c>
      <c r="W62" s="28">
        <f>PROGRAMADO!W62/'Anexo '!$E$23</f>
        <v>0</v>
      </c>
      <c r="X62" s="28">
        <f>PROGRAMADO!X62/'Anexo '!$E$23</f>
        <v>23904.430088506153</v>
      </c>
      <c r="Y62" s="28">
        <f>PROGRAMADO!Y62/'Anexo '!$E$23</f>
        <v>23904.430088506153</v>
      </c>
      <c r="Z62" s="28">
        <f>PROGRAMADO!Z62/'Anexo '!$E$23</f>
        <v>0</v>
      </c>
      <c r="AA62" s="28">
        <f>PROGRAMADO!AA62/'Anexo '!$E$23</f>
        <v>0</v>
      </c>
      <c r="AB62" s="28">
        <f>PROGRAMADO!AB62/'Anexo '!$E$23</f>
        <v>0</v>
      </c>
      <c r="AC62" s="28">
        <f>PROGRAMADO!AC62/'Anexo '!$E$23</f>
        <v>23904.430088506153</v>
      </c>
      <c r="AD62" s="28">
        <f>PROGRAMADO!AD62/'Anexo '!$F$23</f>
        <v>0</v>
      </c>
      <c r="AE62" s="28">
        <f>PROGRAMADO!AE62/'Anexo '!$F$23</f>
        <v>0</v>
      </c>
      <c r="AF62" s="28">
        <f>PROGRAMADO!AF62/'Anexo '!$F$23</f>
        <v>0</v>
      </c>
      <c r="AG62" s="28">
        <f>PROGRAMADO!AG62/'Anexo '!$F$23</f>
        <v>2030792.7148548663</v>
      </c>
      <c r="AH62" s="28">
        <f>PROGRAMADO!AH62/'Anexo '!$F$23</f>
        <v>466315.99317017646</v>
      </c>
      <c r="AI62" s="28">
        <f>PROGRAMADO!AI62/'Anexo '!$F$23</f>
        <v>2497108.7080250424</v>
      </c>
      <c r="AJ62" s="28">
        <f>PROGRAMADO!AJ62/'Anexo '!$F$23</f>
        <v>2497108.7080250424</v>
      </c>
      <c r="AK62" s="28">
        <f>PROGRAMADO!AK62/'Anexo '!$G$23</f>
        <v>0</v>
      </c>
      <c r="AL62" s="28">
        <f>PROGRAMADO!AL62/'Anexo '!$G$23</f>
        <v>0</v>
      </c>
      <c r="AM62" s="28">
        <f>PROGRAMADO!AM62/'Anexo '!$G$23</f>
        <v>0</v>
      </c>
      <c r="AN62" s="28">
        <f>PROGRAMADO!AN62/'Anexo '!$G$23</f>
        <v>1520165.5961189256</v>
      </c>
      <c r="AO62" s="28">
        <f>PROGRAMADO!AO62/'Anexo '!$G$23</f>
        <v>0</v>
      </c>
      <c r="AP62" s="28">
        <f>PROGRAMADO!AP62/'Anexo '!$G$23</f>
        <v>1520165.5961189256</v>
      </c>
      <c r="AQ62" s="28">
        <f>PROGRAMADO!AQ62/'Anexo '!$G$23</f>
        <v>1520165.5961189256</v>
      </c>
      <c r="AR62" s="28">
        <f>PROGRAMADO!AR62/'Anexo '!$H$23</f>
        <v>0</v>
      </c>
      <c r="AS62" s="28">
        <f>PROGRAMADO!AS62/'Anexo '!$H$23</f>
        <v>0</v>
      </c>
      <c r="AT62" s="28">
        <f>PROGRAMADO!AT62/'Anexo '!$H$23</f>
        <v>0</v>
      </c>
      <c r="AU62" s="28">
        <f>PROGRAMADO!AU62/'Anexo '!$H$23</f>
        <v>3104341.8559872806</v>
      </c>
      <c r="AV62" s="28">
        <f>PROGRAMADO!AV62/'Anexo '!$H$23</f>
        <v>0</v>
      </c>
      <c r="AW62" s="28">
        <f>PROGRAMADO!AW62/'Anexo '!$H$23</f>
        <v>3104341.8559872806</v>
      </c>
      <c r="AX62" s="28">
        <f>PROGRAMADO!AX62/'Anexo '!$H$23</f>
        <v>3104341.8559872806</v>
      </c>
      <c r="AY62" s="28">
        <f>PROGRAMADO!AY62/'Anexo '!$I$23</f>
        <v>0</v>
      </c>
      <c r="AZ62" s="28">
        <f>PROGRAMADO!AZ62/'Anexo '!$I$23</f>
        <v>0</v>
      </c>
      <c r="BA62" s="28">
        <f>PROGRAMADO!BA62/'Anexo '!$I$23</f>
        <v>0</v>
      </c>
      <c r="BB62" s="28">
        <f>PROGRAMADO!BB62/'Anexo '!$I$23</f>
        <v>1174294.2255037385</v>
      </c>
      <c r="BC62" s="28">
        <f>PROGRAMADO!BC62/'Anexo '!$I$23</f>
        <v>0</v>
      </c>
      <c r="BD62" s="28">
        <f>PROGRAMADO!BD62/'Anexo '!$I$23</f>
        <v>1174294.2255037385</v>
      </c>
      <c r="BE62" s="28">
        <f>PROGRAMADO!BE62/'Anexo '!$I$23</f>
        <v>1174294.2255037385</v>
      </c>
      <c r="BF62" s="28">
        <f>PROGRAMADO!BF62/'Anexo '!$J$23</f>
        <v>0</v>
      </c>
      <c r="BG62" s="28">
        <f>PROGRAMADO!BG62/'Anexo '!$J$23</f>
        <v>0</v>
      </c>
      <c r="BH62" s="28">
        <f>PROGRAMADO!BH62/'Anexo '!$J$23</f>
        <v>0</v>
      </c>
      <c r="BI62" s="28">
        <f>PROGRAMADO!BI62/'Anexo '!$J$23</f>
        <v>0</v>
      </c>
      <c r="BJ62" s="28">
        <f>PROGRAMADO!BJ62/'Anexo '!$J$23</f>
        <v>0</v>
      </c>
      <c r="BK62" s="28">
        <f>PROGRAMADO!BK62/'Anexo '!$J$23</f>
        <v>0</v>
      </c>
      <c r="BL62" s="28">
        <f>PROGRAMADO!BL62/'Anexo '!$J$23</f>
        <v>0</v>
      </c>
      <c r="BM62" s="28">
        <f>PROGRAMADO!BM62/'Anexo '!$K$23</f>
        <v>0</v>
      </c>
      <c r="BN62" s="28">
        <f>PROGRAMADO!BN62/'Anexo '!$K$23</f>
        <v>5515445.2981809918</v>
      </c>
      <c r="BO62" s="28">
        <f>PROGRAMADO!BO62/'Anexo '!$K$23</f>
        <v>5515445.2981809918</v>
      </c>
      <c r="BP62" s="28">
        <f>PROGRAMADO!BP62/'Anexo '!$K$23</f>
        <v>0</v>
      </c>
      <c r="BQ62" s="28">
        <f>PROGRAMADO!BQ62/'Anexo '!$K$23</f>
        <v>0</v>
      </c>
      <c r="BR62" s="28">
        <f>PROGRAMADO!BR62/'Anexo '!$K$23</f>
        <v>0</v>
      </c>
      <c r="BS62" s="28">
        <f>PROGRAMADO!BS62/'Anexo '!$K$23</f>
        <v>5515445.2981809918</v>
      </c>
      <c r="BT62" s="28">
        <f>PROGRAMADO!BT62/'Anexo '!$L$23</f>
        <v>0</v>
      </c>
      <c r="BU62" s="28">
        <f>PROGRAMADO!BU62/'Anexo '!$L$23</f>
        <v>5884226.2822391242</v>
      </c>
      <c r="BV62" s="28">
        <f>PROGRAMADO!BV62/'Anexo '!$L$23</f>
        <v>0</v>
      </c>
      <c r="BW62" s="28">
        <f>PROGRAMADO!BW62/'Anexo '!$L$23</f>
        <v>5884226.2822391242</v>
      </c>
      <c r="BX62" s="28">
        <f>PROGRAMADO!BX62/'Anexo '!$L$23</f>
        <v>0</v>
      </c>
      <c r="BY62" s="28">
        <f>PROGRAMADO!BY62/'Anexo '!$L$23</f>
        <v>0</v>
      </c>
      <c r="BZ62" s="28">
        <f>PROGRAMADO!BZ62/'Anexo '!$L$23</f>
        <v>0</v>
      </c>
      <c r="CA62" s="28">
        <f>PROGRAMADO!CA62/'Anexo '!$L$23</f>
        <v>5884226.2822391242</v>
      </c>
      <c r="CB62" s="28">
        <f>PROGRAMADO!CB62/'Anexo '!$M$23</f>
        <v>0</v>
      </c>
      <c r="CC62" s="28">
        <f>PROGRAMADO!CC62/'Anexo '!$M$23</f>
        <v>5343846.9476638101</v>
      </c>
      <c r="CD62" s="28">
        <f>PROGRAMADO!CD62/'Anexo '!$M$23</f>
        <v>0</v>
      </c>
      <c r="CE62" s="28">
        <f>PROGRAMADO!CE62/'Anexo '!$M$23</f>
        <v>5343846.9476638101</v>
      </c>
      <c r="CF62" s="28">
        <f>PROGRAMADO!CF62/'Anexo '!$M$23</f>
        <v>0</v>
      </c>
      <c r="CG62" s="28">
        <f>PROGRAMADO!CG62/'Anexo '!$M$23</f>
        <v>0</v>
      </c>
      <c r="CH62" s="28">
        <f>PROGRAMADO!CH62/'Anexo '!$M$23</f>
        <v>0</v>
      </c>
      <c r="CI62" s="29">
        <f>PROGRAMADO!CI62/'Anexo '!$M$23</f>
        <v>5343846.9476638101</v>
      </c>
    </row>
    <row r="63" spans="1:87" x14ac:dyDescent="0.25">
      <c r="A63" s="15" t="s">
        <v>102</v>
      </c>
      <c r="B63" s="27">
        <f>PROGRAMADO!B63/'Anexo '!$B$23</f>
        <v>0</v>
      </c>
      <c r="C63" s="28">
        <f>PROGRAMADO!C63/'Anexo '!$B$23</f>
        <v>0</v>
      </c>
      <c r="D63" s="28">
        <f>PROGRAMADO!D63/'Anexo '!$B$23</f>
        <v>0</v>
      </c>
      <c r="E63" s="28">
        <f>PROGRAMADO!E63/'Anexo '!$B$23</f>
        <v>0</v>
      </c>
      <c r="F63" s="28">
        <f>PROGRAMADO!F63/'Anexo '!$B$23</f>
        <v>0</v>
      </c>
      <c r="G63" s="28">
        <f>PROGRAMADO!G63/'Anexo '!$B$23</f>
        <v>0</v>
      </c>
      <c r="H63" s="28">
        <f>PROGRAMADO!H63/'Anexo '!$B$23</f>
        <v>0</v>
      </c>
      <c r="I63" s="28">
        <f>PROGRAMADO!I63/'Anexo '!$C$23</f>
        <v>0</v>
      </c>
      <c r="J63" s="28">
        <f>PROGRAMADO!J63/'Anexo '!$C$23</f>
        <v>0</v>
      </c>
      <c r="K63" s="28">
        <f>PROGRAMADO!K63/'Anexo '!$C$23</f>
        <v>0</v>
      </c>
      <c r="L63" s="28">
        <f>PROGRAMADO!L63/'Anexo '!$C$23</f>
        <v>0</v>
      </c>
      <c r="M63" s="28">
        <f>PROGRAMADO!M63/'Anexo '!$C$23</f>
        <v>0</v>
      </c>
      <c r="N63" s="28">
        <f>PROGRAMADO!N63/'Anexo '!$C$23</f>
        <v>0</v>
      </c>
      <c r="O63" s="28">
        <f>PROGRAMADO!O63/'Anexo '!$C$23</f>
        <v>0</v>
      </c>
      <c r="P63" s="28">
        <f>PROGRAMADO!P63/'Anexo '!$D$23</f>
        <v>0</v>
      </c>
      <c r="Q63" s="28">
        <f>PROGRAMADO!Q63/'Anexo '!$D$23</f>
        <v>0</v>
      </c>
      <c r="R63" s="28">
        <f>PROGRAMADO!R63/'Anexo '!$D$23</f>
        <v>0</v>
      </c>
      <c r="S63" s="28">
        <f>PROGRAMADO!S63/'Anexo '!$D$23</f>
        <v>0</v>
      </c>
      <c r="T63" s="28">
        <f>PROGRAMADO!T63/'Anexo '!$D$23</f>
        <v>0</v>
      </c>
      <c r="U63" s="28">
        <f>PROGRAMADO!U63/'Anexo '!$D$23</f>
        <v>0</v>
      </c>
      <c r="V63" s="28">
        <f>PROGRAMADO!V63/'Anexo '!$D$23</f>
        <v>0</v>
      </c>
      <c r="W63" s="28">
        <f>PROGRAMADO!W63/'Anexo '!$E$23</f>
        <v>0</v>
      </c>
      <c r="X63" s="28">
        <f>PROGRAMADO!X63/'Anexo '!$E$23</f>
        <v>0</v>
      </c>
      <c r="Y63" s="28">
        <f>PROGRAMADO!Y63/'Anexo '!$E$23</f>
        <v>0</v>
      </c>
      <c r="Z63" s="28">
        <f>PROGRAMADO!Z63/'Anexo '!$E$23</f>
        <v>0</v>
      </c>
      <c r="AA63" s="28">
        <f>PROGRAMADO!AA63/'Anexo '!$E$23</f>
        <v>0</v>
      </c>
      <c r="AB63" s="28">
        <f>PROGRAMADO!AB63/'Anexo '!$E$23</f>
        <v>0</v>
      </c>
      <c r="AC63" s="28">
        <f>PROGRAMADO!AC63/'Anexo '!$E$23</f>
        <v>0</v>
      </c>
      <c r="AD63" s="28">
        <f>PROGRAMADO!AD63/'Anexo '!$F$23</f>
        <v>0</v>
      </c>
      <c r="AE63" s="28">
        <f>PROGRAMADO!AE63/'Anexo '!$F$23</f>
        <v>0</v>
      </c>
      <c r="AF63" s="28">
        <f>PROGRAMADO!AF63/'Anexo '!$F$23</f>
        <v>0</v>
      </c>
      <c r="AG63" s="28">
        <f>PROGRAMADO!AG63/'Anexo '!$F$23</f>
        <v>366238.01935116673</v>
      </c>
      <c r="AH63" s="28">
        <f>PROGRAMADO!AH63/'Anexo '!$F$23</f>
        <v>265033.01081388729</v>
      </c>
      <c r="AI63" s="28">
        <f>PROGRAMADO!AI63/'Anexo '!$F$23</f>
        <v>631271.03016505402</v>
      </c>
      <c r="AJ63" s="28">
        <f>PROGRAMADO!AJ63/'Anexo '!$F$23</f>
        <v>631271.03016505402</v>
      </c>
      <c r="AK63" s="28">
        <f>PROGRAMADO!AK63/'Anexo '!$G$23</f>
        <v>0</v>
      </c>
      <c r="AL63" s="28">
        <f>PROGRAMADO!AL63/'Anexo '!$G$23</f>
        <v>0</v>
      </c>
      <c r="AM63" s="28">
        <f>PROGRAMADO!AM63/'Anexo '!$G$23</f>
        <v>0</v>
      </c>
      <c r="AN63" s="28">
        <f>PROGRAMADO!AN63/'Anexo '!$G$23</f>
        <v>501835.43377510371</v>
      </c>
      <c r="AO63" s="28">
        <f>PROGRAMADO!AO63/'Anexo '!$G$23</f>
        <v>742031.49307531782</v>
      </c>
      <c r="AP63" s="28">
        <f>PROGRAMADO!AP63/'Anexo '!$G$23</f>
        <v>1243866.9268504216</v>
      </c>
      <c r="AQ63" s="28">
        <f>PROGRAMADO!AQ63/'Anexo '!$G$23</f>
        <v>1243866.9268504216</v>
      </c>
      <c r="AR63" s="28">
        <f>PROGRAMADO!AR63/'Anexo '!$H$23</f>
        <v>0</v>
      </c>
      <c r="AS63" s="28">
        <f>PROGRAMADO!AS63/'Anexo '!$H$23</f>
        <v>0</v>
      </c>
      <c r="AT63" s="28">
        <f>PROGRAMADO!AT63/'Anexo '!$H$23</f>
        <v>0</v>
      </c>
      <c r="AU63" s="28">
        <f>PROGRAMADO!AU63/'Anexo '!$H$23</f>
        <v>2514157.1038462929</v>
      </c>
      <c r="AV63" s="28">
        <f>PROGRAMADO!AV63/'Anexo '!$H$23</f>
        <v>3318915.5426158509</v>
      </c>
      <c r="AW63" s="28">
        <f>PROGRAMADO!AW63/'Anexo '!$H$23</f>
        <v>5833072.6464621434</v>
      </c>
      <c r="AX63" s="28">
        <f>PROGRAMADO!AX63/'Anexo '!$H$23</f>
        <v>5833072.6464621434</v>
      </c>
      <c r="AY63" s="28">
        <f>PROGRAMADO!AY63/'Anexo '!$I$23</f>
        <v>0</v>
      </c>
      <c r="AZ63" s="28">
        <f>PROGRAMADO!AZ63/'Anexo '!$I$23</f>
        <v>0</v>
      </c>
      <c r="BA63" s="28">
        <f>PROGRAMADO!BA63/'Anexo '!$I$23</f>
        <v>0</v>
      </c>
      <c r="BB63" s="28">
        <f>PROGRAMADO!BB63/'Anexo '!$I$23</f>
        <v>462864.19340408692</v>
      </c>
      <c r="BC63" s="28">
        <f>PROGRAMADO!BC63/'Anexo '!$I$23</f>
        <v>4625075.1367799081</v>
      </c>
      <c r="BD63" s="28">
        <f>PROGRAMADO!BD63/'Anexo '!$I$23</f>
        <v>5087939.330183995</v>
      </c>
      <c r="BE63" s="28">
        <f>PROGRAMADO!BE63/'Anexo '!$I$23</f>
        <v>5087939.330183995</v>
      </c>
      <c r="BF63" s="28">
        <f>PROGRAMADO!BF63/'Anexo '!$J$23</f>
        <v>0</v>
      </c>
      <c r="BG63" s="28">
        <f>PROGRAMADO!BG63/'Anexo '!$J$23</f>
        <v>0</v>
      </c>
      <c r="BH63" s="28">
        <f>PROGRAMADO!BH63/'Anexo '!$J$23</f>
        <v>0</v>
      </c>
      <c r="BI63" s="28">
        <f>PROGRAMADO!BI63/'Anexo '!$J$23</f>
        <v>0</v>
      </c>
      <c r="BJ63" s="28">
        <f>PROGRAMADO!BJ63/'Anexo '!$J$23</f>
        <v>5048697.3459946429</v>
      </c>
      <c r="BK63" s="28">
        <f>PROGRAMADO!BK63/'Anexo '!$J$23</f>
        <v>5048697.3459946429</v>
      </c>
      <c r="BL63" s="28">
        <f>PROGRAMADO!BL63/'Anexo '!$J$23</f>
        <v>5048697.3459946429</v>
      </c>
      <c r="BM63" s="28">
        <f>PROGRAMADO!BM63/'Anexo '!$K$23</f>
        <v>0</v>
      </c>
      <c r="BN63" s="28">
        <f>PROGRAMADO!BN63/'Anexo '!$K$23</f>
        <v>0</v>
      </c>
      <c r="BO63" s="28">
        <f>PROGRAMADO!BO63/'Anexo '!$K$23</f>
        <v>0</v>
      </c>
      <c r="BP63" s="28">
        <f>PROGRAMADO!BP63/'Anexo '!$K$23</f>
        <v>0</v>
      </c>
      <c r="BQ63" s="28">
        <f>PROGRAMADO!BQ63/'Anexo '!$K$23</f>
        <v>5178916.8446729667</v>
      </c>
      <c r="BR63" s="28">
        <f>PROGRAMADO!BR63/'Anexo '!$K$23</f>
        <v>5178916.8446729667</v>
      </c>
      <c r="BS63" s="28">
        <f>PROGRAMADO!BS63/'Anexo '!$K$23</f>
        <v>5178916.8446729667</v>
      </c>
      <c r="BT63" s="28">
        <f>PROGRAMADO!BT63/'Anexo '!$L$23</f>
        <v>0</v>
      </c>
      <c r="BU63" s="28">
        <f>PROGRAMADO!BU63/'Anexo '!$L$23</f>
        <v>0</v>
      </c>
      <c r="BV63" s="28">
        <f>PROGRAMADO!BV63/'Anexo '!$L$23</f>
        <v>0</v>
      </c>
      <c r="BW63" s="28">
        <f>PROGRAMADO!BW63/'Anexo '!$L$23</f>
        <v>0</v>
      </c>
      <c r="BX63" s="28">
        <f>PROGRAMADO!BX63/'Anexo '!$L$23</f>
        <v>0</v>
      </c>
      <c r="BY63" s="28">
        <f>PROGRAMADO!BY63/'Anexo '!$L$23</f>
        <v>3414792.290214764</v>
      </c>
      <c r="BZ63" s="28">
        <f>PROGRAMADO!BZ63/'Anexo '!$L$23</f>
        <v>3414792.290214764</v>
      </c>
      <c r="CA63" s="28">
        <f>PROGRAMADO!CA63/'Anexo '!$L$23</f>
        <v>3414792.290214764</v>
      </c>
      <c r="CB63" s="28">
        <f>PROGRAMADO!CB63/'Anexo '!$M$23</f>
        <v>0</v>
      </c>
      <c r="CC63" s="28">
        <f>PROGRAMADO!CC63/'Anexo '!$M$23</f>
        <v>0</v>
      </c>
      <c r="CD63" s="28">
        <f>PROGRAMADO!CD63/'Anexo '!$M$23</f>
        <v>0</v>
      </c>
      <c r="CE63" s="28">
        <f>PROGRAMADO!CE63/'Anexo '!$M$23</f>
        <v>0</v>
      </c>
      <c r="CF63" s="28">
        <f>PROGRAMADO!CF63/'Anexo '!$M$23</f>
        <v>0</v>
      </c>
      <c r="CG63" s="28">
        <f>PROGRAMADO!CG63/'Anexo '!$M$23</f>
        <v>1942169.7742944616</v>
      </c>
      <c r="CH63" s="28">
        <f>PROGRAMADO!CH63/'Anexo '!$M$23</f>
        <v>1942169.7742944616</v>
      </c>
      <c r="CI63" s="29">
        <f>PROGRAMADO!CI63/'Anexo '!$M$23</f>
        <v>1942169.7742944616</v>
      </c>
    </row>
    <row r="64" spans="1:87" x14ac:dyDescent="0.25">
      <c r="A64" s="15" t="s">
        <v>103</v>
      </c>
      <c r="B64" s="27">
        <f>PROGRAMADO!B64/'Anexo '!$B$23</f>
        <v>0</v>
      </c>
      <c r="C64" s="28">
        <f>PROGRAMADO!C64/'Anexo '!$B$23</f>
        <v>0</v>
      </c>
      <c r="D64" s="28">
        <f>PROGRAMADO!D64/'Anexo '!$B$23</f>
        <v>0</v>
      </c>
      <c r="E64" s="28">
        <f>PROGRAMADO!E64/'Anexo '!$B$23</f>
        <v>0</v>
      </c>
      <c r="F64" s="28">
        <f>PROGRAMADO!F64/'Anexo '!$B$23</f>
        <v>0</v>
      </c>
      <c r="G64" s="28">
        <f>PROGRAMADO!G64/'Anexo '!$B$23</f>
        <v>0</v>
      </c>
      <c r="H64" s="28">
        <f>PROGRAMADO!H64/'Anexo '!$B$23</f>
        <v>0</v>
      </c>
      <c r="I64" s="28">
        <f>PROGRAMADO!I64/'Anexo '!$C$23</f>
        <v>0</v>
      </c>
      <c r="J64" s="28">
        <f>PROGRAMADO!J64/'Anexo '!$C$23</f>
        <v>0</v>
      </c>
      <c r="K64" s="28">
        <f>PROGRAMADO!K64/'Anexo '!$C$23</f>
        <v>0</v>
      </c>
      <c r="L64" s="28">
        <f>PROGRAMADO!L64/'Anexo '!$C$23</f>
        <v>0</v>
      </c>
      <c r="M64" s="28">
        <f>PROGRAMADO!M64/'Anexo '!$C$23</f>
        <v>0</v>
      </c>
      <c r="N64" s="28">
        <f>PROGRAMADO!N64/'Anexo '!$C$23</f>
        <v>0</v>
      </c>
      <c r="O64" s="28">
        <f>PROGRAMADO!O64/'Anexo '!$C$23</f>
        <v>0</v>
      </c>
      <c r="P64" s="28">
        <f>PROGRAMADO!P64/'Anexo '!$D$23</f>
        <v>0</v>
      </c>
      <c r="Q64" s="28">
        <f>PROGRAMADO!Q64/'Anexo '!$D$23</f>
        <v>0</v>
      </c>
      <c r="R64" s="28">
        <f>PROGRAMADO!R64/'Anexo '!$D$23</f>
        <v>0</v>
      </c>
      <c r="S64" s="28">
        <f>PROGRAMADO!S64/'Anexo '!$D$23</f>
        <v>0</v>
      </c>
      <c r="T64" s="28">
        <f>PROGRAMADO!T64/'Anexo '!$D$23</f>
        <v>0</v>
      </c>
      <c r="U64" s="28">
        <f>PROGRAMADO!U64/'Anexo '!$D$23</f>
        <v>0</v>
      </c>
      <c r="V64" s="28">
        <f>PROGRAMADO!V64/'Anexo '!$D$23</f>
        <v>0</v>
      </c>
      <c r="W64" s="28">
        <f>PROGRAMADO!W64/'Anexo '!$E$23</f>
        <v>0</v>
      </c>
      <c r="X64" s="28">
        <f>PROGRAMADO!X64/'Anexo '!$E$23</f>
        <v>0</v>
      </c>
      <c r="Y64" s="28">
        <f>PROGRAMADO!Y64/'Anexo '!$E$23</f>
        <v>0</v>
      </c>
      <c r="Z64" s="28">
        <f>PROGRAMADO!Z64/'Anexo '!$E$23</f>
        <v>0</v>
      </c>
      <c r="AA64" s="28">
        <f>PROGRAMADO!AA64/'Anexo '!$E$23</f>
        <v>0</v>
      </c>
      <c r="AB64" s="28">
        <f>PROGRAMADO!AB64/'Anexo '!$E$23</f>
        <v>0</v>
      </c>
      <c r="AC64" s="28">
        <f>PROGRAMADO!AC64/'Anexo '!$E$23</f>
        <v>0</v>
      </c>
      <c r="AD64" s="28">
        <f>PROGRAMADO!AD64/'Anexo '!$F$23</f>
        <v>0</v>
      </c>
      <c r="AE64" s="28">
        <f>PROGRAMADO!AE64/'Anexo '!$F$23</f>
        <v>1095455.6061468411</v>
      </c>
      <c r="AF64" s="28">
        <f>PROGRAMADO!AF64/'Anexo '!$F$23</f>
        <v>1095455.6061468411</v>
      </c>
      <c r="AG64" s="28">
        <f>PROGRAMADO!AG64/'Anexo '!$F$23</f>
        <v>0</v>
      </c>
      <c r="AH64" s="28">
        <f>PROGRAMADO!AH64/'Anexo '!$F$23</f>
        <v>0</v>
      </c>
      <c r="AI64" s="28">
        <f>PROGRAMADO!AI64/'Anexo '!$F$23</f>
        <v>0</v>
      </c>
      <c r="AJ64" s="28">
        <f>PROGRAMADO!AJ64/'Anexo '!$F$23</f>
        <v>1095455.6061468411</v>
      </c>
      <c r="AK64" s="28">
        <f>PROGRAMADO!AK64/'Anexo '!$G$23</f>
        <v>0</v>
      </c>
      <c r="AL64" s="28">
        <f>PROGRAMADO!AL64/'Anexo '!$G$23</f>
        <v>1129821.8825378758</v>
      </c>
      <c r="AM64" s="28">
        <f>PROGRAMADO!AM64/'Anexo '!$G$23</f>
        <v>1129821.8825378758</v>
      </c>
      <c r="AN64" s="28">
        <f>PROGRAMADO!AN64/'Anexo '!$G$23</f>
        <v>0</v>
      </c>
      <c r="AO64" s="28">
        <f>PROGRAMADO!AO64/'Anexo '!$G$23</f>
        <v>0</v>
      </c>
      <c r="AP64" s="28">
        <f>PROGRAMADO!AP64/'Anexo '!$G$23</f>
        <v>0</v>
      </c>
      <c r="AQ64" s="28">
        <f>PROGRAMADO!AQ64/'Anexo '!$G$23</f>
        <v>1129821.8825378758</v>
      </c>
      <c r="AR64" s="28">
        <f>PROGRAMADO!AR64/'Anexo '!$H$23</f>
        <v>0</v>
      </c>
      <c r="AS64" s="28">
        <f>PROGRAMADO!AS64/'Anexo '!$H$23</f>
        <v>1690404.5550513887</v>
      </c>
      <c r="AT64" s="28">
        <f>PROGRAMADO!AT64/'Anexo '!$H$23</f>
        <v>1690404.5550513887</v>
      </c>
      <c r="AU64" s="28">
        <f>PROGRAMADO!AU64/'Anexo '!$H$23</f>
        <v>0</v>
      </c>
      <c r="AV64" s="28">
        <f>PROGRAMADO!AV64/'Anexo '!$H$23</f>
        <v>0</v>
      </c>
      <c r="AW64" s="28">
        <f>PROGRAMADO!AW64/'Anexo '!$H$23</f>
        <v>0</v>
      </c>
      <c r="AX64" s="28">
        <f>PROGRAMADO!AX64/'Anexo '!$H$23</f>
        <v>1690404.5550513887</v>
      </c>
      <c r="AY64" s="28">
        <f>PROGRAMADO!AY64/'Anexo '!$I$23</f>
        <v>0</v>
      </c>
      <c r="AZ64" s="28">
        <f>PROGRAMADO!AZ64/'Anexo '!$I$23</f>
        <v>1600317.9487683661</v>
      </c>
      <c r="BA64" s="28">
        <f>PROGRAMADO!BA64/'Anexo '!$I$23</f>
        <v>1600317.9487683661</v>
      </c>
      <c r="BB64" s="28">
        <f>PROGRAMADO!BB64/'Anexo '!$I$23</f>
        <v>0</v>
      </c>
      <c r="BC64" s="28">
        <f>PROGRAMADO!BC64/'Anexo '!$I$23</f>
        <v>0</v>
      </c>
      <c r="BD64" s="28">
        <f>PROGRAMADO!BD64/'Anexo '!$I$23</f>
        <v>0</v>
      </c>
      <c r="BE64" s="28">
        <f>PROGRAMADO!BE64/'Anexo '!$I$23</f>
        <v>1600317.9487683661</v>
      </c>
      <c r="BF64" s="28">
        <f>PROGRAMADO!BF64/'Anexo '!$J$23</f>
        <v>0</v>
      </c>
      <c r="BG64" s="28">
        <f>PROGRAMADO!BG64/'Anexo '!$J$23</f>
        <v>2198387.743252608</v>
      </c>
      <c r="BH64" s="28">
        <f>PROGRAMADO!BH64/'Anexo '!$J$23</f>
        <v>2198387.743252608</v>
      </c>
      <c r="BI64" s="28">
        <f>PROGRAMADO!BI64/'Anexo '!$J$23</f>
        <v>0</v>
      </c>
      <c r="BJ64" s="28">
        <f>PROGRAMADO!BJ64/'Anexo '!$J$23</f>
        <v>0</v>
      </c>
      <c r="BK64" s="28">
        <f>PROGRAMADO!BK64/'Anexo '!$J$23</f>
        <v>0</v>
      </c>
      <c r="BL64" s="28">
        <f>PROGRAMADO!BL64/'Anexo '!$J$23</f>
        <v>2198387.743252608</v>
      </c>
      <c r="BM64" s="28">
        <f>PROGRAMADO!BM64/'Anexo '!$K$23</f>
        <v>0</v>
      </c>
      <c r="BN64" s="28">
        <f>PROGRAMADO!BN64/'Anexo '!$K$23</f>
        <v>2171673.6308379751</v>
      </c>
      <c r="BO64" s="28">
        <f>PROGRAMADO!BO64/'Anexo '!$K$23</f>
        <v>2171673.6308379751</v>
      </c>
      <c r="BP64" s="28">
        <f>PROGRAMADO!BP64/'Anexo '!$K$23</f>
        <v>0</v>
      </c>
      <c r="BQ64" s="28">
        <f>PROGRAMADO!BQ64/'Anexo '!$K$23</f>
        <v>0</v>
      </c>
      <c r="BR64" s="28">
        <f>PROGRAMADO!BR64/'Anexo '!$K$23</f>
        <v>0</v>
      </c>
      <c r="BS64" s="28">
        <f>PROGRAMADO!BS64/'Anexo '!$K$23</f>
        <v>2171673.6308379751</v>
      </c>
      <c r="BT64" s="28">
        <f>PROGRAMADO!BT64/'Anexo '!$L$23</f>
        <v>0</v>
      </c>
      <c r="BU64" s="28">
        <f>PROGRAMADO!BU64/'Anexo '!$L$23</f>
        <v>2479774.2358801868</v>
      </c>
      <c r="BV64" s="28">
        <f>PROGRAMADO!BV64/'Anexo '!$L$23</f>
        <v>0</v>
      </c>
      <c r="BW64" s="28">
        <f>PROGRAMADO!BW64/'Anexo '!$L$23</f>
        <v>2479774.2358801868</v>
      </c>
      <c r="BX64" s="28">
        <f>PROGRAMADO!BX64/'Anexo '!$L$23</f>
        <v>0</v>
      </c>
      <c r="BY64" s="28">
        <f>PROGRAMADO!BY64/'Anexo '!$L$23</f>
        <v>0</v>
      </c>
      <c r="BZ64" s="28">
        <f>PROGRAMADO!BZ64/'Anexo '!$L$23</f>
        <v>0</v>
      </c>
      <c r="CA64" s="28">
        <f>PROGRAMADO!CA64/'Anexo '!$L$23</f>
        <v>2479774.2358801868</v>
      </c>
      <c r="CB64" s="28">
        <f>PROGRAMADO!CB64/'Anexo '!$M$23</f>
        <v>0</v>
      </c>
      <c r="CC64" s="28">
        <f>PROGRAMADO!CC64/'Anexo '!$M$23</f>
        <v>2770312.5095282383</v>
      </c>
      <c r="CD64" s="28">
        <f>PROGRAMADO!CD64/'Anexo '!$M$23</f>
        <v>0</v>
      </c>
      <c r="CE64" s="28">
        <f>PROGRAMADO!CE64/'Anexo '!$M$23</f>
        <v>2770312.5095282383</v>
      </c>
      <c r="CF64" s="28">
        <f>PROGRAMADO!CF64/'Anexo '!$M$23</f>
        <v>0</v>
      </c>
      <c r="CG64" s="28">
        <f>PROGRAMADO!CG64/'Anexo '!$M$23</f>
        <v>0</v>
      </c>
      <c r="CH64" s="28">
        <f>PROGRAMADO!CH64/'Anexo '!$M$23</f>
        <v>0</v>
      </c>
      <c r="CI64" s="29">
        <f>PROGRAMADO!CI64/'Anexo '!$M$23</f>
        <v>2770312.5095282383</v>
      </c>
    </row>
    <row r="65" spans="1:87" x14ac:dyDescent="0.25">
      <c r="A65" s="15" t="s">
        <v>104</v>
      </c>
      <c r="B65" s="27">
        <f>PROGRAMADO!B65/'Anexo '!$B$23</f>
        <v>0</v>
      </c>
      <c r="C65" s="28">
        <f>PROGRAMADO!C65/'Anexo '!$B$23</f>
        <v>0</v>
      </c>
      <c r="D65" s="28">
        <f>PROGRAMADO!D65/'Anexo '!$B$23</f>
        <v>0</v>
      </c>
      <c r="E65" s="28">
        <f>PROGRAMADO!E65/'Anexo '!$B$23</f>
        <v>0</v>
      </c>
      <c r="F65" s="28">
        <f>PROGRAMADO!F65/'Anexo '!$B$23</f>
        <v>0</v>
      </c>
      <c r="G65" s="28">
        <f>PROGRAMADO!G65/'Anexo '!$B$23</f>
        <v>0</v>
      </c>
      <c r="H65" s="28">
        <f>PROGRAMADO!H65/'Anexo '!$B$23</f>
        <v>0</v>
      </c>
      <c r="I65" s="28">
        <f>PROGRAMADO!I65/'Anexo '!$C$23</f>
        <v>0</v>
      </c>
      <c r="J65" s="28">
        <f>PROGRAMADO!J65/'Anexo '!$C$23</f>
        <v>0</v>
      </c>
      <c r="K65" s="28">
        <f>PROGRAMADO!K65/'Anexo '!$C$23</f>
        <v>0</v>
      </c>
      <c r="L65" s="28">
        <f>PROGRAMADO!L65/'Anexo '!$C$23</f>
        <v>0</v>
      </c>
      <c r="M65" s="28">
        <f>PROGRAMADO!M65/'Anexo '!$C$23</f>
        <v>0</v>
      </c>
      <c r="N65" s="28">
        <f>PROGRAMADO!N65/'Anexo '!$C$23</f>
        <v>0</v>
      </c>
      <c r="O65" s="28">
        <f>PROGRAMADO!O65/'Anexo '!$C$23</f>
        <v>0</v>
      </c>
      <c r="P65" s="28">
        <f>PROGRAMADO!P65/'Anexo '!$D$23</f>
        <v>0</v>
      </c>
      <c r="Q65" s="28">
        <f>PROGRAMADO!Q65/'Anexo '!$D$23</f>
        <v>0</v>
      </c>
      <c r="R65" s="28">
        <f>PROGRAMADO!R65/'Anexo '!$D$23</f>
        <v>0</v>
      </c>
      <c r="S65" s="28">
        <f>PROGRAMADO!S65/'Anexo '!$D$23</f>
        <v>0</v>
      </c>
      <c r="T65" s="28">
        <f>PROGRAMADO!T65/'Anexo '!$D$23</f>
        <v>0</v>
      </c>
      <c r="U65" s="28">
        <f>PROGRAMADO!U65/'Anexo '!$D$23</f>
        <v>0</v>
      </c>
      <c r="V65" s="28">
        <f>PROGRAMADO!V65/'Anexo '!$D$23</f>
        <v>0</v>
      </c>
      <c r="W65" s="28">
        <f>PROGRAMADO!W65/'Anexo '!$E$23</f>
        <v>0</v>
      </c>
      <c r="X65" s="28">
        <f>PROGRAMADO!X65/'Anexo '!$E$23</f>
        <v>0</v>
      </c>
      <c r="Y65" s="28">
        <f>PROGRAMADO!Y65/'Anexo '!$E$23</f>
        <v>0</v>
      </c>
      <c r="Z65" s="28">
        <f>PROGRAMADO!Z65/'Anexo '!$E$23</f>
        <v>0</v>
      </c>
      <c r="AA65" s="28">
        <f>PROGRAMADO!AA65/'Anexo '!$E$23</f>
        <v>0</v>
      </c>
      <c r="AB65" s="28">
        <f>PROGRAMADO!AB65/'Anexo '!$E$23</f>
        <v>0</v>
      </c>
      <c r="AC65" s="28">
        <f>PROGRAMADO!AC65/'Anexo '!$E$23</f>
        <v>0</v>
      </c>
      <c r="AD65" s="28">
        <f>PROGRAMADO!AD65/'Anexo '!$F$23</f>
        <v>0</v>
      </c>
      <c r="AE65" s="28">
        <f>PROGRAMADO!AE65/'Anexo '!$F$23</f>
        <v>1376939.4422310756</v>
      </c>
      <c r="AF65" s="28">
        <f>PROGRAMADO!AF65/'Anexo '!$F$23</f>
        <v>1376939.4422310756</v>
      </c>
      <c r="AG65" s="28">
        <f>PROGRAMADO!AG65/'Anexo '!$F$23</f>
        <v>0</v>
      </c>
      <c r="AH65" s="28">
        <f>PROGRAMADO!AH65/'Anexo '!$F$23</f>
        <v>0</v>
      </c>
      <c r="AI65" s="28">
        <f>PROGRAMADO!AI65/'Anexo '!$F$23</f>
        <v>0</v>
      </c>
      <c r="AJ65" s="28">
        <f>PROGRAMADO!AJ65/'Anexo '!$F$23</f>
        <v>1376939.4422310756</v>
      </c>
      <c r="AK65" s="28">
        <f>PROGRAMADO!AK65/'Anexo '!$G$23</f>
        <v>0</v>
      </c>
      <c r="AL65" s="28">
        <f>PROGRAMADO!AL65/'Anexo '!$G$23</f>
        <v>0</v>
      </c>
      <c r="AM65" s="28">
        <f>PROGRAMADO!AM65/'Anexo '!$G$23</f>
        <v>0</v>
      </c>
      <c r="AN65" s="28">
        <f>PROGRAMADO!AN65/'Anexo '!$G$23</f>
        <v>0</v>
      </c>
      <c r="AO65" s="28">
        <f>PROGRAMADO!AO65/'Anexo '!$G$23</f>
        <v>0</v>
      </c>
      <c r="AP65" s="28">
        <f>PROGRAMADO!AP65/'Anexo '!$G$23</f>
        <v>0</v>
      </c>
      <c r="AQ65" s="28">
        <f>PROGRAMADO!AQ65/'Anexo '!$G$23</f>
        <v>0</v>
      </c>
      <c r="AR65" s="28">
        <f>PROGRAMADO!AR65/'Anexo '!$H$23</f>
        <v>0</v>
      </c>
      <c r="AS65" s="28">
        <f>PROGRAMADO!AS65/'Anexo '!$H$23</f>
        <v>0</v>
      </c>
      <c r="AT65" s="28">
        <f>PROGRAMADO!AT65/'Anexo '!$H$23</f>
        <v>0</v>
      </c>
      <c r="AU65" s="28">
        <f>PROGRAMADO!AU65/'Anexo '!$H$23</f>
        <v>0</v>
      </c>
      <c r="AV65" s="28">
        <f>PROGRAMADO!AV65/'Anexo '!$H$23</f>
        <v>0</v>
      </c>
      <c r="AW65" s="28">
        <f>PROGRAMADO!AW65/'Anexo '!$H$23</f>
        <v>0</v>
      </c>
      <c r="AX65" s="28">
        <f>PROGRAMADO!AX65/'Anexo '!$H$23</f>
        <v>0</v>
      </c>
      <c r="AY65" s="28">
        <f>PROGRAMADO!AY65/'Anexo '!$I$23</f>
        <v>0</v>
      </c>
      <c r="AZ65" s="28">
        <f>PROGRAMADO!AZ65/'Anexo '!$I$23</f>
        <v>0</v>
      </c>
      <c r="BA65" s="28">
        <f>PROGRAMADO!BA65/'Anexo '!$I$23</f>
        <v>0</v>
      </c>
      <c r="BB65" s="28">
        <f>PROGRAMADO!BB65/'Anexo '!$I$23</f>
        <v>0</v>
      </c>
      <c r="BC65" s="28">
        <f>PROGRAMADO!BC65/'Anexo '!$I$23</f>
        <v>0</v>
      </c>
      <c r="BD65" s="28">
        <f>PROGRAMADO!BD65/'Anexo '!$I$23</f>
        <v>0</v>
      </c>
      <c r="BE65" s="28">
        <f>PROGRAMADO!BE65/'Anexo '!$I$23</f>
        <v>0</v>
      </c>
      <c r="BF65" s="28">
        <f>PROGRAMADO!BF65/'Anexo '!$J$23</f>
        <v>0</v>
      </c>
      <c r="BG65" s="28">
        <f>PROGRAMADO!BG65/'Anexo '!$J$23</f>
        <v>0</v>
      </c>
      <c r="BH65" s="28">
        <f>PROGRAMADO!BH65/'Anexo '!$J$23</f>
        <v>0</v>
      </c>
      <c r="BI65" s="28">
        <f>PROGRAMADO!BI65/'Anexo '!$J$23</f>
        <v>0</v>
      </c>
      <c r="BJ65" s="28">
        <f>PROGRAMADO!BJ65/'Anexo '!$J$23</f>
        <v>0</v>
      </c>
      <c r="BK65" s="28">
        <f>PROGRAMADO!BK65/'Anexo '!$J$23</f>
        <v>0</v>
      </c>
      <c r="BL65" s="28">
        <f>PROGRAMADO!BL65/'Anexo '!$J$23</f>
        <v>0</v>
      </c>
      <c r="BM65" s="28">
        <f>PROGRAMADO!BM65/'Anexo '!$K$23</f>
        <v>0</v>
      </c>
      <c r="BN65" s="28">
        <f>PROGRAMADO!BN65/'Anexo '!$K$23</f>
        <v>0</v>
      </c>
      <c r="BO65" s="28">
        <f>PROGRAMADO!BO65/'Anexo '!$K$23</f>
        <v>0</v>
      </c>
      <c r="BP65" s="28">
        <f>PROGRAMADO!BP65/'Anexo '!$K$23</f>
        <v>0</v>
      </c>
      <c r="BQ65" s="28">
        <f>PROGRAMADO!BQ65/'Anexo '!$K$23</f>
        <v>0</v>
      </c>
      <c r="BR65" s="28">
        <f>PROGRAMADO!BR65/'Anexo '!$K$23</f>
        <v>0</v>
      </c>
      <c r="BS65" s="28">
        <f>PROGRAMADO!BS65/'Anexo '!$K$23</f>
        <v>0</v>
      </c>
      <c r="BT65" s="28">
        <f>PROGRAMADO!BT65/'Anexo '!$L$23</f>
        <v>0</v>
      </c>
      <c r="BU65" s="28">
        <f>PROGRAMADO!BU65/'Anexo '!$L$23</f>
        <v>0</v>
      </c>
      <c r="BV65" s="28">
        <f>PROGRAMADO!BV65/'Anexo '!$L$23</f>
        <v>0</v>
      </c>
      <c r="BW65" s="28">
        <f>PROGRAMADO!BW65/'Anexo '!$L$23</f>
        <v>0</v>
      </c>
      <c r="BX65" s="28">
        <f>PROGRAMADO!BX65/'Anexo '!$L$23</f>
        <v>0</v>
      </c>
      <c r="BY65" s="28">
        <f>PROGRAMADO!BY65/'Anexo '!$L$23</f>
        <v>0</v>
      </c>
      <c r="BZ65" s="28">
        <f>PROGRAMADO!BZ65/'Anexo '!$L$23</f>
        <v>0</v>
      </c>
      <c r="CA65" s="28">
        <f>PROGRAMADO!CA65/'Anexo '!$L$23</f>
        <v>0</v>
      </c>
      <c r="CB65" s="28">
        <f>PROGRAMADO!CB65/'Anexo '!$M$23</f>
        <v>0</v>
      </c>
      <c r="CC65" s="28">
        <f>PROGRAMADO!CC65/'Anexo '!$M$23</f>
        <v>0</v>
      </c>
      <c r="CD65" s="28">
        <f>PROGRAMADO!CD65/'Anexo '!$M$23</f>
        <v>0</v>
      </c>
      <c r="CE65" s="28">
        <f>PROGRAMADO!CE65/'Anexo '!$M$23</f>
        <v>0</v>
      </c>
      <c r="CF65" s="28">
        <f>PROGRAMADO!CF65/'Anexo '!$M$23</f>
        <v>0</v>
      </c>
      <c r="CG65" s="28">
        <f>PROGRAMADO!CG65/'Anexo '!$M$23</f>
        <v>0</v>
      </c>
      <c r="CH65" s="28">
        <f>PROGRAMADO!CH65/'Anexo '!$M$23</f>
        <v>0</v>
      </c>
      <c r="CI65" s="29">
        <f>PROGRAMADO!CI65/'Anexo '!$M$23</f>
        <v>0</v>
      </c>
    </row>
    <row r="66" spans="1:87" x14ac:dyDescent="0.25">
      <c r="A66" s="15" t="s">
        <v>105</v>
      </c>
      <c r="B66" s="27">
        <f>PROGRAMADO!B66/'Anexo '!$B$23</f>
        <v>0</v>
      </c>
      <c r="C66" s="28">
        <f>PROGRAMADO!C66/'Anexo '!$B$23</f>
        <v>0</v>
      </c>
      <c r="D66" s="28">
        <f>PROGRAMADO!D66/'Anexo '!$B$23</f>
        <v>0</v>
      </c>
      <c r="E66" s="28">
        <f>PROGRAMADO!E66/'Anexo '!$B$23</f>
        <v>0</v>
      </c>
      <c r="F66" s="28">
        <f>PROGRAMADO!F66/'Anexo '!$B$23</f>
        <v>0</v>
      </c>
      <c r="G66" s="28">
        <f>PROGRAMADO!G66/'Anexo '!$B$23</f>
        <v>0</v>
      </c>
      <c r="H66" s="28">
        <f>PROGRAMADO!H66/'Anexo '!$B$23</f>
        <v>0</v>
      </c>
      <c r="I66" s="28">
        <f>PROGRAMADO!I66/'Anexo '!$C$23</f>
        <v>0</v>
      </c>
      <c r="J66" s="28">
        <f>PROGRAMADO!J66/'Anexo '!$C$23</f>
        <v>0</v>
      </c>
      <c r="K66" s="28">
        <f>PROGRAMADO!K66/'Anexo '!$C$23</f>
        <v>0</v>
      </c>
      <c r="L66" s="28">
        <f>PROGRAMADO!L66/'Anexo '!$C$23</f>
        <v>0</v>
      </c>
      <c r="M66" s="28">
        <f>PROGRAMADO!M66/'Anexo '!$C$23</f>
        <v>0</v>
      </c>
      <c r="N66" s="28">
        <f>PROGRAMADO!N66/'Anexo '!$C$23</f>
        <v>0</v>
      </c>
      <c r="O66" s="28">
        <f>PROGRAMADO!O66/'Anexo '!$C$23</f>
        <v>0</v>
      </c>
      <c r="P66" s="28">
        <f>PROGRAMADO!P66/'Anexo '!$D$23</f>
        <v>0</v>
      </c>
      <c r="Q66" s="28">
        <f>PROGRAMADO!Q66/'Anexo '!$D$23</f>
        <v>0</v>
      </c>
      <c r="R66" s="28">
        <f>PROGRAMADO!R66/'Anexo '!$D$23</f>
        <v>0</v>
      </c>
      <c r="S66" s="28">
        <f>PROGRAMADO!S66/'Anexo '!$D$23</f>
        <v>0</v>
      </c>
      <c r="T66" s="28">
        <f>PROGRAMADO!T66/'Anexo '!$D$23</f>
        <v>0</v>
      </c>
      <c r="U66" s="28">
        <f>PROGRAMADO!U66/'Anexo '!$D$23</f>
        <v>0</v>
      </c>
      <c r="V66" s="28">
        <f>PROGRAMADO!V66/'Anexo '!$D$23</f>
        <v>0</v>
      </c>
      <c r="W66" s="28">
        <f>PROGRAMADO!W66/'Anexo '!$E$23</f>
        <v>0</v>
      </c>
      <c r="X66" s="28">
        <f>PROGRAMADO!X66/'Anexo '!$E$23</f>
        <v>0</v>
      </c>
      <c r="Y66" s="28">
        <f>PROGRAMADO!Y66/'Anexo '!$E$23</f>
        <v>0</v>
      </c>
      <c r="Z66" s="28">
        <f>PROGRAMADO!Z66/'Anexo '!$E$23</f>
        <v>0</v>
      </c>
      <c r="AA66" s="28">
        <f>PROGRAMADO!AA66/'Anexo '!$E$23</f>
        <v>0</v>
      </c>
      <c r="AB66" s="28">
        <f>PROGRAMADO!AB66/'Anexo '!$E$23</f>
        <v>0</v>
      </c>
      <c r="AC66" s="28">
        <f>PROGRAMADO!AC66/'Anexo '!$E$23</f>
        <v>0</v>
      </c>
      <c r="AD66" s="28">
        <f>PROGRAMADO!AD66/'Anexo '!$F$23</f>
        <v>0</v>
      </c>
      <c r="AE66" s="28">
        <f>PROGRAMADO!AE66/'Anexo '!$F$23</f>
        <v>0</v>
      </c>
      <c r="AF66" s="28">
        <f>PROGRAMADO!AF66/'Anexo '!$F$23</f>
        <v>0</v>
      </c>
      <c r="AG66" s="28">
        <f>PROGRAMADO!AG66/'Anexo '!$F$23</f>
        <v>0</v>
      </c>
      <c r="AH66" s="28">
        <f>PROGRAMADO!AH66/'Anexo '!$F$23</f>
        <v>178086.34035287422</v>
      </c>
      <c r="AI66" s="28">
        <f>PROGRAMADO!AI66/'Anexo '!$F$23</f>
        <v>178086.34035287422</v>
      </c>
      <c r="AJ66" s="28">
        <f>PROGRAMADO!AJ66/'Anexo '!$F$23</f>
        <v>178086.34035287422</v>
      </c>
      <c r="AK66" s="28">
        <f>PROGRAMADO!AK66/'Anexo '!$G$23</f>
        <v>0</v>
      </c>
      <c r="AL66" s="28">
        <f>PROGRAMADO!AL66/'Anexo '!$G$23</f>
        <v>13273.924709325962</v>
      </c>
      <c r="AM66" s="28">
        <f>PROGRAMADO!AM66/'Anexo '!$G$23</f>
        <v>13273.924709325962</v>
      </c>
      <c r="AN66" s="28">
        <f>PROGRAMADO!AN66/'Anexo '!$G$23</f>
        <v>20381.060790850206</v>
      </c>
      <c r="AO66" s="28">
        <f>PROGRAMADO!AO66/'Anexo '!$G$23</f>
        <v>1897753.4216874002</v>
      </c>
      <c r="AP66" s="28">
        <f>PROGRAMADO!AP66/'Anexo '!$G$23</f>
        <v>1918134.4824782503</v>
      </c>
      <c r="AQ66" s="28">
        <f>PROGRAMADO!AQ66/'Anexo '!$G$23</f>
        <v>1931408.4071875764</v>
      </c>
      <c r="AR66" s="28">
        <f>PROGRAMADO!AR66/'Anexo '!$H$23</f>
        <v>0</v>
      </c>
      <c r="AS66" s="28">
        <f>PROGRAMADO!AS66/'Anexo '!$H$23</f>
        <v>0</v>
      </c>
      <c r="AT66" s="28">
        <f>PROGRAMADO!AT66/'Anexo '!$H$23</f>
        <v>0</v>
      </c>
      <c r="AU66" s="28">
        <f>PROGRAMADO!AU66/'Anexo '!$H$23</f>
        <v>0</v>
      </c>
      <c r="AV66" s="28">
        <f>PROGRAMADO!AV66/'Anexo '!$H$23</f>
        <v>0</v>
      </c>
      <c r="AW66" s="28">
        <f>PROGRAMADO!AW66/'Anexo '!$H$23</f>
        <v>0</v>
      </c>
      <c r="AX66" s="28">
        <f>PROGRAMADO!AX66/'Anexo '!$H$23</f>
        <v>0</v>
      </c>
      <c r="AY66" s="28">
        <f>PROGRAMADO!AY66/'Anexo '!$I$23</f>
        <v>0</v>
      </c>
      <c r="AZ66" s="28">
        <f>PROGRAMADO!AZ66/'Anexo '!$I$23</f>
        <v>0</v>
      </c>
      <c r="BA66" s="28">
        <f>PROGRAMADO!BA66/'Anexo '!$I$23</f>
        <v>0</v>
      </c>
      <c r="BB66" s="28">
        <f>PROGRAMADO!BB66/'Anexo '!$I$23</f>
        <v>0</v>
      </c>
      <c r="BC66" s="28">
        <f>PROGRAMADO!BC66/'Anexo '!$I$23</f>
        <v>0</v>
      </c>
      <c r="BD66" s="28">
        <f>PROGRAMADO!BD66/'Anexo '!$I$23</f>
        <v>0</v>
      </c>
      <c r="BE66" s="28">
        <f>PROGRAMADO!BE66/'Anexo '!$I$23</f>
        <v>0</v>
      </c>
      <c r="BF66" s="28">
        <f>PROGRAMADO!BF66/'Anexo '!$J$23</f>
        <v>0</v>
      </c>
      <c r="BG66" s="28">
        <f>PROGRAMADO!BG66/'Anexo '!$J$23</f>
        <v>0</v>
      </c>
      <c r="BH66" s="28">
        <f>PROGRAMADO!BH66/'Anexo '!$J$23</f>
        <v>0</v>
      </c>
      <c r="BI66" s="28">
        <f>PROGRAMADO!BI66/'Anexo '!$J$23</f>
        <v>0</v>
      </c>
      <c r="BJ66" s="28">
        <f>PROGRAMADO!BJ66/'Anexo '!$J$23</f>
        <v>0</v>
      </c>
      <c r="BK66" s="28">
        <f>PROGRAMADO!BK66/'Anexo '!$J$23</f>
        <v>0</v>
      </c>
      <c r="BL66" s="28">
        <f>PROGRAMADO!BL66/'Anexo '!$J$23</f>
        <v>0</v>
      </c>
      <c r="BM66" s="28">
        <f>PROGRAMADO!BM66/'Anexo '!$K$23</f>
        <v>0</v>
      </c>
      <c r="BN66" s="28">
        <f>PROGRAMADO!BN66/'Anexo '!$K$23</f>
        <v>0</v>
      </c>
      <c r="BO66" s="28">
        <f>PROGRAMADO!BO66/'Anexo '!$K$23</f>
        <v>0</v>
      </c>
      <c r="BP66" s="28">
        <f>PROGRAMADO!BP66/'Anexo '!$K$23</f>
        <v>0</v>
      </c>
      <c r="BQ66" s="28">
        <f>PROGRAMADO!BQ66/'Anexo '!$K$23</f>
        <v>0</v>
      </c>
      <c r="BR66" s="28">
        <f>PROGRAMADO!BR66/'Anexo '!$K$23</f>
        <v>0</v>
      </c>
      <c r="BS66" s="28">
        <f>PROGRAMADO!BS66/'Anexo '!$K$23</f>
        <v>0</v>
      </c>
      <c r="BT66" s="28">
        <f>PROGRAMADO!BT66/'Anexo '!$L$23</f>
        <v>0</v>
      </c>
      <c r="BU66" s="28">
        <f>PROGRAMADO!BU66/'Anexo '!$L$23</f>
        <v>0</v>
      </c>
      <c r="BV66" s="28">
        <f>PROGRAMADO!BV66/'Anexo '!$L$23</f>
        <v>0</v>
      </c>
      <c r="BW66" s="28">
        <f>PROGRAMADO!BW66/'Anexo '!$L$23</f>
        <v>0</v>
      </c>
      <c r="BX66" s="28">
        <f>PROGRAMADO!BX66/'Anexo '!$L$23</f>
        <v>0</v>
      </c>
      <c r="BY66" s="28">
        <f>PROGRAMADO!BY66/'Anexo '!$L$23</f>
        <v>0</v>
      </c>
      <c r="BZ66" s="28">
        <f>PROGRAMADO!BZ66/'Anexo '!$L$23</f>
        <v>0</v>
      </c>
      <c r="CA66" s="28">
        <f>PROGRAMADO!CA66/'Anexo '!$L$23</f>
        <v>0</v>
      </c>
      <c r="CB66" s="28">
        <f>PROGRAMADO!CB66/'Anexo '!$M$23</f>
        <v>0</v>
      </c>
      <c r="CC66" s="28">
        <f>PROGRAMADO!CC66/'Anexo '!$M$23</f>
        <v>0</v>
      </c>
      <c r="CD66" s="28">
        <f>PROGRAMADO!CD66/'Anexo '!$M$23</f>
        <v>0</v>
      </c>
      <c r="CE66" s="28">
        <f>PROGRAMADO!CE66/'Anexo '!$M$23</f>
        <v>0</v>
      </c>
      <c r="CF66" s="28">
        <f>PROGRAMADO!CF66/'Anexo '!$M$23</f>
        <v>0</v>
      </c>
      <c r="CG66" s="28">
        <f>PROGRAMADO!CG66/'Anexo '!$M$23</f>
        <v>0</v>
      </c>
      <c r="CH66" s="28">
        <f>PROGRAMADO!CH66/'Anexo '!$M$23</f>
        <v>0</v>
      </c>
      <c r="CI66" s="29">
        <f>PROGRAMADO!CI66/'Anexo '!$M$23</f>
        <v>0</v>
      </c>
    </row>
    <row r="67" spans="1:87" x14ac:dyDescent="0.25">
      <c r="A67" s="15" t="s">
        <v>106</v>
      </c>
      <c r="B67" s="27">
        <f>PROGRAMADO!B67/'Anexo '!$B$23</f>
        <v>0</v>
      </c>
      <c r="C67" s="28">
        <f>PROGRAMADO!C67/'Anexo '!$B$23</f>
        <v>0</v>
      </c>
      <c r="D67" s="28">
        <f>PROGRAMADO!D67/'Anexo '!$B$23</f>
        <v>0</v>
      </c>
      <c r="E67" s="28">
        <f>PROGRAMADO!E67/'Anexo '!$B$23</f>
        <v>0</v>
      </c>
      <c r="F67" s="28">
        <f>PROGRAMADO!F67/'Anexo '!$B$23</f>
        <v>0</v>
      </c>
      <c r="G67" s="28">
        <f>PROGRAMADO!G67/'Anexo '!$B$23</f>
        <v>0</v>
      </c>
      <c r="H67" s="28">
        <f>PROGRAMADO!H67/'Anexo '!$B$23</f>
        <v>0</v>
      </c>
      <c r="I67" s="28">
        <f>PROGRAMADO!I67/'Anexo '!$C$23</f>
        <v>0</v>
      </c>
      <c r="J67" s="28">
        <f>PROGRAMADO!J67/'Anexo '!$C$23</f>
        <v>0</v>
      </c>
      <c r="K67" s="28">
        <f>PROGRAMADO!K67/'Anexo '!$C$23</f>
        <v>0</v>
      </c>
      <c r="L67" s="28">
        <f>PROGRAMADO!L67/'Anexo '!$C$23</f>
        <v>0</v>
      </c>
      <c r="M67" s="28">
        <f>PROGRAMADO!M67/'Anexo '!$C$23</f>
        <v>0</v>
      </c>
      <c r="N67" s="28">
        <f>PROGRAMADO!N67/'Anexo '!$C$23</f>
        <v>0</v>
      </c>
      <c r="O67" s="28">
        <f>PROGRAMADO!O67/'Anexo '!$C$23</f>
        <v>0</v>
      </c>
      <c r="P67" s="28">
        <f>PROGRAMADO!P67/'Anexo '!$D$23</f>
        <v>0</v>
      </c>
      <c r="Q67" s="28">
        <f>PROGRAMADO!Q67/'Anexo '!$D$23</f>
        <v>0</v>
      </c>
      <c r="R67" s="28">
        <f>PROGRAMADO!R67/'Anexo '!$D$23</f>
        <v>0</v>
      </c>
      <c r="S67" s="28">
        <f>PROGRAMADO!S67/'Anexo '!$D$23</f>
        <v>0</v>
      </c>
      <c r="T67" s="28">
        <f>PROGRAMADO!T67/'Anexo '!$D$23</f>
        <v>0</v>
      </c>
      <c r="U67" s="28">
        <f>PROGRAMADO!U67/'Anexo '!$D$23</f>
        <v>0</v>
      </c>
      <c r="V67" s="28">
        <f>PROGRAMADO!V67/'Anexo '!$D$23</f>
        <v>0</v>
      </c>
      <c r="W67" s="28">
        <f>PROGRAMADO!W67/'Anexo '!$E$23</f>
        <v>0</v>
      </c>
      <c r="X67" s="28">
        <f>PROGRAMADO!X67/'Anexo '!$E$23</f>
        <v>0</v>
      </c>
      <c r="Y67" s="28">
        <f>PROGRAMADO!Y67/'Anexo '!$E$23</f>
        <v>0</v>
      </c>
      <c r="Z67" s="28">
        <f>PROGRAMADO!Z67/'Anexo '!$E$23</f>
        <v>0</v>
      </c>
      <c r="AA67" s="28">
        <f>PROGRAMADO!AA67/'Anexo '!$E$23</f>
        <v>0</v>
      </c>
      <c r="AB67" s="28">
        <f>PROGRAMADO!AB67/'Anexo '!$E$23</f>
        <v>0</v>
      </c>
      <c r="AC67" s="28">
        <f>PROGRAMADO!AC67/'Anexo '!$E$23</f>
        <v>0</v>
      </c>
      <c r="AD67" s="28">
        <f>PROGRAMADO!AD67/'Anexo '!$F$23</f>
        <v>0</v>
      </c>
      <c r="AE67" s="28">
        <f>PROGRAMADO!AE67/'Anexo '!$F$23</f>
        <v>0</v>
      </c>
      <c r="AF67" s="28">
        <f>PROGRAMADO!AF67/'Anexo '!$F$23</f>
        <v>0</v>
      </c>
      <c r="AG67" s="28">
        <f>PROGRAMADO!AG67/'Anexo '!$F$23</f>
        <v>0</v>
      </c>
      <c r="AH67" s="28">
        <f>PROGRAMADO!AH67/'Anexo '!$F$23</f>
        <v>130703.47182697779</v>
      </c>
      <c r="AI67" s="28">
        <f>PROGRAMADO!AI67/'Anexo '!$F$23</f>
        <v>130703.47182697779</v>
      </c>
      <c r="AJ67" s="28">
        <f>PROGRAMADO!AJ67/'Anexo '!$F$23</f>
        <v>130703.47182697779</v>
      </c>
      <c r="AK67" s="28">
        <f>PROGRAMADO!AK67/'Anexo '!$G$23</f>
        <v>0</v>
      </c>
      <c r="AL67" s="28">
        <f>PROGRAMADO!AL67/'Anexo '!$G$23</f>
        <v>50666.449846871023</v>
      </c>
      <c r="AM67" s="28">
        <f>PROGRAMADO!AM67/'Anexo '!$G$23</f>
        <v>50666.449846871023</v>
      </c>
      <c r="AN67" s="28">
        <f>PROGRAMADO!AN67/'Anexo '!$G$23</f>
        <v>0</v>
      </c>
      <c r="AO67" s="28">
        <f>PROGRAMADO!AO67/'Anexo '!$G$23</f>
        <v>457093.15120470501</v>
      </c>
      <c r="AP67" s="28">
        <f>PROGRAMADO!AP67/'Anexo '!$G$23</f>
        <v>457093.15120470501</v>
      </c>
      <c r="AQ67" s="28">
        <f>PROGRAMADO!AQ67/'Anexo '!$G$23</f>
        <v>507759.60105157603</v>
      </c>
      <c r="AR67" s="28">
        <f>PROGRAMADO!AR67/'Anexo '!$H$23</f>
        <v>0</v>
      </c>
      <c r="AS67" s="28">
        <f>PROGRAMADO!AS67/'Anexo '!$H$23</f>
        <v>3004.3516640081766</v>
      </c>
      <c r="AT67" s="28">
        <f>PROGRAMADO!AT67/'Anexo '!$H$23</f>
        <v>3004.3516640081766</v>
      </c>
      <c r="AU67" s="28">
        <f>PROGRAMADO!AU67/'Anexo '!$H$23</f>
        <v>0</v>
      </c>
      <c r="AV67" s="28">
        <f>PROGRAMADO!AV67/'Anexo '!$H$23</f>
        <v>584309.23141250992</v>
      </c>
      <c r="AW67" s="28">
        <f>PROGRAMADO!AW67/'Anexo '!$H$23</f>
        <v>584309.23141250992</v>
      </c>
      <c r="AX67" s="28">
        <f>PROGRAMADO!AX67/'Anexo '!$H$23</f>
        <v>587313.58307651803</v>
      </c>
      <c r="AY67" s="28">
        <f>PROGRAMADO!AY67/'Anexo '!$I$23</f>
        <v>0</v>
      </c>
      <c r="AZ67" s="28">
        <f>PROGRAMADO!AZ67/'Anexo '!$I$23</f>
        <v>2998.589188365474</v>
      </c>
      <c r="BA67" s="28">
        <f>PROGRAMADO!BA67/'Anexo '!$I$23</f>
        <v>2998.589188365474</v>
      </c>
      <c r="BB67" s="28">
        <f>PROGRAMADO!BB67/'Anexo '!$I$23</f>
        <v>0</v>
      </c>
      <c r="BC67" s="28">
        <f>PROGRAMADO!BC67/'Anexo '!$I$23</f>
        <v>648875.0374823648</v>
      </c>
      <c r="BD67" s="28">
        <f>PROGRAMADO!BD67/'Anexo '!$I$23</f>
        <v>648875.0374823648</v>
      </c>
      <c r="BE67" s="28">
        <f>PROGRAMADO!BE67/'Anexo '!$I$23</f>
        <v>651873.6266707303</v>
      </c>
      <c r="BF67" s="28">
        <f>PROGRAMADO!BF67/'Anexo '!$J$23</f>
        <v>0</v>
      </c>
      <c r="BG67" s="28">
        <f>PROGRAMADO!BG67/'Anexo '!$J$23</f>
        <v>0</v>
      </c>
      <c r="BH67" s="28">
        <f>PROGRAMADO!BH67/'Anexo '!$J$23</f>
        <v>0</v>
      </c>
      <c r="BI67" s="28">
        <f>PROGRAMADO!BI67/'Anexo '!$J$23</f>
        <v>0</v>
      </c>
      <c r="BJ67" s="28">
        <f>PROGRAMADO!BJ67/'Anexo '!$J$23</f>
        <v>0</v>
      </c>
      <c r="BK67" s="28">
        <f>PROGRAMADO!BK67/'Anexo '!$J$23</f>
        <v>0</v>
      </c>
      <c r="BL67" s="28">
        <f>PROGRAMADO!BL67/'Anexo '!$J$23</f>
        <v>0</v>
      </c>
      <c r="BM67" s="28">
        <f>PROGRAMADO!BM67/'Anexo '!$K$23</f>
        <v>0</v>
      </c>
      <c r="BN67" s="28">
        <f>PROGRAMADO!BN67/'Anexo '!$K$23</f>
        <v>0</v>
      </c>
      <c r="BO67" s="28">
        <f>PROGRAMADO!BO67/'Anexo '!$K$23</f>
        <v>0</v>
      </c>
      <c r="BP67" s="28">
        <f>PROGRAMADO!BP67/'Anexo '!$K$23</f>
        <v>0</v>
      </c>
      <c r="BQ67" s="28">
        <f>PROGRAMADO!BQ67/'Anexo '!$K$23</f>
        <v>0</v>
      </c>
      <c r="BR67" s="28">
        <f>PROGRAMADO!BR67/'Anexo '!$K$23</f>
        <v>0</v>
      </c>
      <c r="BS67" s="28">
        <f>PROGRAMADO!BS67/'Anexo '!$K$23</f>
        <v>0</v>
      </c>
      <c r="BT67" s="28">
        <f>PROGRAMADO!BT67/'Anexo '!$L$23</f>
        <v>0</v>
      </c>
      <c r="BU67" s="28">
        <f>PROGRAMADO!BU67/'Anexo '!$L$23</f>
        <v>0</v>
      </c>
      <c r="BV67" s="28">
        <f>PROGRAMADO!BV67/'Anexo '!$L$23</f>
        <v>0</v>
      </c>
      <c r="BW67" s="28">
        <f>PROGRAMADO!BW67/'Anexo '!$L$23</f>
        <v>0</v>
      </c>
      <c r="BX67" s="28">
        <f>PROGRAMADO!BX67/'Anexo '!$L$23</f>
        <v>0</v>
      </c>
      <c r="BY67" s="28">
        <f>PROGRAMADO!BY67/'Anexo '!$L$23</f>
        <v>0</v>
      </c>
      <c r="BZ67" s="28">
        <f>PROGRAMADO!BZ67/'Anexo '!$L$23</f>
        <v>0</v>
      </c>
      <c r="CA67" s="28">
        <f>PROGRAMADO!CA67/'Anexo '!$L$23</f>
        <v>0</v>
      </c>
      <c r="CB67" s="28">
        <f>PROGRAMADO!CB67/'Anexo '!$M$23</f>
        <v>0</v>
      </c>
      <c r="CC67" s="28">
        <f>PROGRAMADO!CC67/'Anexo '!$M$23</f>
        <v>0</v>
      </c>
      <c r="CD67" s="28">
        <f>PROGRAMADO!CD67/'Anexo '!$M$23</f>
        <v>0</v>
      </c>
      <c r="CE67" s="28">
        <f>PROGRAMADO!CE67/'Anexo '!$M$23</f>
        <v>0</v>
      </c>
      <c r="CF67" s="28">
        <f>PROGRAMADO!CF67/'Anexo '!$M$23</f>
        <v>0</v>
      </c>
      <c r="CG67" s="28">
        <f>PROGRAMADO!CG67/'Anexo '!$M$23</f>
        <v>0</v>
      </c>
      <c r="CH67" s="28">
        <f>PROGRAMADO!CH67/'Anexo '!$M$23</f>
        <v>0</v>
      </c>
      <c r="CI67" s="29">
        <f>PROGRAMADO!CI67/'Anexo '!$M$23</f>
        <v>0</v>
      </c>
    </row>
    <row r="68" spans="1:87" x14ac:dyDescent="0.25">
      <c r="A68" s="15" t="s">
        <v>107</v>
      </c>
      <c r="B68" s="27">
        <f>PROGRAMADO!B68/'Anexo '!$B$23</f>
        <v>0</v>
      </c>
      <c r="C68" s="28">
        <f>PROGRAMADO!C68/'Anexo '!$B$23</f>
        <v>0</v>
      </c>
      <c r="D68" s="28">
        <f>PROGRAMADO!D68/'Anexo '!$B$23</f>
        <v>0</v>
      </c>
      <c r="E68" s="28">
        <f>PROGRAMADO!E68/'Anexo '!$B$23</f>
        <v>0</v>
      </c>
      <c r="F68" s="28">
        <f>PROGRAMADO!F68/'Anexo '!$B$23</f>
        <v>0</v>
      </c>
      <c r="G68" s="28">
        <f>PROGRAMADO!G68/'Anexo '!$B$23</f>
        <v>0</v>
      </c>
      <c r="H68" s="28">
        <f>PROGRAMADO!H68/'Anexo '!$B$23</f>
        <v>0</v>
      </c>
      <c r="I68" s="28">
        <f>PROGRAMADO!I68/'Anexo '!$C$23</f>
        <v>0</v>
      </c>
      <c r="J68" s="28">
        <f>PROGRAMADO!J68/'Anexo '!$C$23</f>
        <v>0</v>
      </c>
      <c r="K68" s="28">
        <f>PROGRAMADO!K68/'Anexo '!$C$23</f>
        <v>0</v>
      </c>
      <c r="L68" s="28">
        <f>PROGRAMADO!L68/'Anexo '!$C$23</f>
        <v>0</v>
      </c>
      <c r="M68" s="28">
        <f>PROGRAMADO!M68/'Anexo '!$C$23</f>
        <v>0</v>
      </c>
      <c r="N68" s="28">
        <f>PROGRAMADO!N68/'Anexo '!$C$23</f>
        <v>0</v>
      </c>
      <c r="O68" s="28">
        <f>PROGRAMADO!O68/'Anexo '!$C$23</f>
        <v>0</v>
      </c>
      <c r="P68" s="28">
        <f>PROGRAMADO!P68/'Anexo '!$D$23</f>
        <v>0</v>
      </c>
      <c r="Q68" s="28">
        <f>PROGRAMADO!Q68/'Anexo '!$D$23</f>
        <v>0</v>
      </c>
      <c r="R68" s="28">
        <f>PROGRAMADO!R68/'Anexo '!$D$23</f>
        <v>0</v>
      </c>
      <c r="S68" s="28">
        <f>PROGRAMADO!S68/'Anexo '!$D$23</f>
        <v>0</v>
      </c>
      <c r="T68" s="28">
        <f>PROGRAMADO!T68/'Anexo '!$D$23</f>
        <v>0</v>
      </c>
      <c r="U68" s="28">
        <f>PROGRAMADO!U68/'Anexo '!$D$23</f>
        <v>0</v>
      </c>
      <c r="V68" s="28">
        <f>PROGRAMADO!V68/'Anexo '!$D$23</f>
        <v>0</v>
      </c>
      <c r="W68" s="28">
        <f>PROGRAMADO!W68/'Anexo '!$E$23</f>
        <v>0</v>
      </c>
      <c r="X68" s="28">
        <f>PROGRAMADO!X68/'Anexo '!$E$23</f>
        <v>0</v>
      </c>
      <c r="Y68" s="28">
        <f>PROGRAMADO!Y68/'Anexo '!$E$23</f>
        <v>0</v>
      </c>
      <c r="Z68" s="28">
        <f>PROGRAMADO!Z68/'Anexo '!$E$23</f>
        <v>0</v>
      </c>
      <c r="AA68" s="28">
        <f>PROGRAMADO!AA68/'Anexo '!$E$23</f>
        <v>0</v>
      </c>
      <c r="AB68" s="28">
        <f>PROGRAMADO!AB68/'Anexo '!$E$23</f>
        <v>0</v>
      </c>
      <c r="AC68" s="28">
        <f>PROGRAMADO!AC68/'Anexo '!$E$23</f>
        <v>0</v>
      </c>
      <c r="AD68" s="28">
        <f>PROGRAMADO!AD68/'Anexo '!$F$23</f>
        <v>0</v>
      </c>
      <c r="AE68" s="28">
        <f>PROGRAMADO!AE68/'Anexo '!$F$23</f>
        <v>0</v>
      </c>
      <c r="AF68" s="28">
        <f>PROGRAMADO!AF68/'Anexo '!$F$23</f>
        <v>0</v>
      </c>
      <c r="AG68" s="28">
        <f>PROGRAMADO!AG68/'Anexo '!$F$23</f>
        <v>577546.95503699488</v>
      </c>
      <c r="AH68" s="28">
        <f>PROGRAMADO!AH68/'Anexo '!$F$23</f>
        <v>0</v>
      </c>
      <c r="AI68" s="28">
        <f>PROGRAMADO!AI68/'Anexo '!$F$23</f>
        <v>577546.95503699488</v>
      </c>
      <c r="AJ68" s="28">
        <f>PROGRAMADO!AJ68/'Anexo '!$F$23</f>
        <v>577546.95503699488</v>
      </c>
      <c r="AK68" s="28">
        <f>PROGRAMADO!AK68/'Anexo '!$G$23</f>
        <v>0</v>
      </c>
      <c r="AL68" s="28">
        <f>PROGRAMADO!AL68/'Anexo '!$G$23</f>
        <v>0</v>
      </c>
      <c r="AM68" s="28">
        <f>PROGRAMADO!AM68/'Anexo '!$G$23</f>
        <v>0</v>
      </c>
      <c r="AN68" s="28">
        <f>PROGRAMADO!AN68/'Anexo '!$G$23</f>
        <v>867279.18258937041</v>
      </c>
      <c r="AO68" s="28">
        <f>PROGRAMADO!AO68/'Anexo '!$G$23</f>
        <v>0</v>
      </c>
      <c r="AP68" s="28">
        <f>PROGRAMADO!AP68/'Anexo '!$G$23</f>
        <v>867279.18258937041</v>
      </c>
      <c r="AQ68" s="28">
        <f>PROGRAMADO!AQ68/'Anexo '!$G$23</f>
        <v>867279.18258937041</v>
      </c>
      <c r="AR68" s="28">
        <f>PROGRAMADO!AR68/'Anexo '!$H$23</f>
        <v>0</v>
      </c>
      <c r="AS68" s="28">
        <f>PROGRAMADO!AS68/'Anexo '!$H$23</f>
        <v>0</v>
      </c>
      <c r="AT68" s="28">
        <f>PROGRAMADO!AT68/'Anexo '!$H$23</f>
        <v>0</v>
      </c>
      <c r="AU68" s="28">
        <f>PROGRAMADO!AU68/'Anexo '!$H$23</f>
        <v>618745.14115806913</v>
      </c>
      <c r="AV68" s="28">
        <f>PROGRAMADO!AV68/'Anexo '!$H$23</f>
        <v>0</v>
      </c>
      <c r="AW68" s="28">
        <f>PROGRAMADO!AW68/'Anexo '!$H$23</f>
        <v>618745.14115806913</v>
      </c>
      <c r="AX68" s="28">
        <f>PROGRAMADO!AX68/'Anexo '!$H$23</f>
        <v>618745.14115806913</v>
      </c>
      <c r="AY68" s="28">
        <f>PROGRAMADO!AY68/'Anexo '!$I$23</f>
        <v>0</v>
      </c>
      <c r="AZ68" s="28">
        <f>PROGRAMADO!AZ68/'Anexo '!$I$23</f>
        <v>0</v>
      </c>
      <c r="BA68" s="28">
        <f>PROGRAMADO!BA68/'Anexo '!$I$23</f>
        <v>0</v>
      </c>
      <c r="BB68" s="28">
        <f>PROGRAMADO!BB68/'Anexo '!$I$23</f>
        <v>1228929.9952317516</v>
      </c>
      <c r="BC68" s="28">
        <f>PROGRAMADO!BC68/'Anexo '!$I$23</f>
        <v>0</v>
      </c>
      <c r="BD68" s="28">
        <f>PROGRAMADO!BD68/'Anexo '!$I$23</f>
        <v>1228929.9952317516</v>
      </c>
      <c r="BE68" s="28">
        <f>PROGRAMADO!BE68/'Anexo '!$I$23</f>
        <v>1228929.9952317516</v>
      </c>
      <c r="BF68" s="28">
        <f>PROGRAMADO!BF68/'Anexo '!$J$23</f>
        <v>0</v>
      </c>
      <c r="BG68" s="28">
        <f>PROGRAMADO!BG68/'Anexo '!$J$23</f>
        <v>0</v>
      </c>
      <c r="BH68" s="28">
        <f>PROGRAMADO!BH68/'Anexo '!$J$23</f>
        <v>0</v>
      </c>
      <c r="BI68" s="28">
        <f>PROGRAMADO!BI68/'Anexo '!$J$23</f>
        <v>0</v>
      </c>
      <c r="BJ68" s="28">
        <f>PROGRAMADO!BJ68/'Anexo '!$J$23</f>
        <v>0</v>
      </c>
      <c r="BK68" s="28">
        <f>PROGRAMADO!BK68/'Anexo '!$J$23</f>
        <v>0</v>
      </c>
      <c r="BL68" s="28">
        <f>PROGRAMADO!BL68/'Anexo '!$J$23</f>
        <v>0</v>
      </c>
      <c r="BM68" s="28">
        <f>PROGRAMADO!BM68/'Anexo '!$K$23</f>
        <v>0</v>
      </c>
      <c r="BN68" s="28">
        <f>PROGRAMADO!BN68/'Anexo '!$K$23</f>
        <v>0</v>
      </c>
      <c r="BO68" s="28">
        <f>PROGRAMADO!BO68/'Anexo '!$K$23</f>
        <v>0</v>
      </c>
      <c r="BP68" s="28">
        <f>PROGRAMADO!BP68/'Anexo '!$K$23</f>
        <v>0</v>
      </c>
      <c r="BQ68" s="28">
        <f>PROGRAMADO!BQ68/'Anexo '!$K$23</f>
        <v>0</v>
      </c>
      <c r="BR68" s="28">
        <f>PROGRAMADO!BR68/'Anexo '!$K$23</f>
        <v>0</v>
      </c>
      <c r="BS68" s="28">
        <f>PROGRAMADO!BS68/'Anexo '!$K$23</f>
        <v>0</v>
      </c>
      <c r="BT68" s="28">
        <f>PROGRAMADO!BT68/'Anexo '!$L$23</f>
        <v>0</v>
      </c>
      <c r="BU68" s="28">
        <f>PROGRAMADO!BU68/'Anexo '!$L$23</f>
        <v>0</v>
      </c>
      <c r="BV68" s="28">
        <f>PROGRAMADO!BV68/'Anexo '!$L$23</f>
        <v>0</v>
      </c>
      <c r="BW68" s="28">
        <f>PROGRAMADO!BW68/'Anexo '!$L$23</f>
        <v>0</v>
      </c>
      <c r="BX68" s="28">
        <f>PROGRAMADO!BX68/'Anexo '!$L$23</f>
        <v>0</v>
      </c>
      <c r="BY68" s="28">
        <f>PROGRAMADO!BY68/'Anexo '!$L$23</f>
        <v>0</v>
      </c>
      <c r="BZ68" s="28">
        <f>PROGRAMADO!BZ68/'Anexo '!$L$23</f>
        <v>0</v>
      </c>
      <c r="CA68" s="28">
        <f>PROGRAMADO!CA68/'Anexo '!$L$23</f>
        <v>0</v>
      </c>
      <c r="CB68" s="28">
        <f>PROGRAMADO!CB68/'Anexo '!$M$23</f>
        <v>0</v>
      </c>
      <c r="CC68" s="28">
        <f>PROGRAMADO!CC68/'Anexo '!$M$23</f>
        <v>0</v>
      </c>
      <c r="CD68" s="28">
        <f>PROGRAMADO!CD68/'Anexo '!$M$23</f>
        <v>0</v>
      </c>
      <c r="CE68" s="28">
        <f>PROGRAMADO!CE68/'Anexo '!$M$23</f>
        <v>0</v>
      </c>
      <c r="CF68" s="28">
        <f>PROGRAMADO!CF68/'Anexo '!$M$23</f>
        <v>0</v>
      </c>
      <c r="CG68" s="28">
        <f>PROGRAMADO!CG68/'Anexo '!$M$23</f>
        <v>0</v>
      </c>
      <c r="CH68" s="28">
        <f>PROGRAMADO!CH68/'Anexo '!$M$23</f>
        <v>0</v>
      </c>
      <c r="CI68" s="29">
        <f>PROGRAMADO!CI68/'Anexo '!$M$23</f>
        <v>0</v>
      </c>
    </row>
    <row r="69" spans="1:87" x14ac:dyDescent="0.25">
      <c r="A69" s="15" t="s">
        <v>100</v>
      </c>
      <c r="B69" s="27">
        <f>PROGRAMADO!B69/'Anexo '!$B$23</f>
        <v>0</v>
      </c>
      <c r="C69" s="28">
        <f>PROGRAMADO!C69/'Anexo '!$B$23</f>
        <v>0</v>
      </c>
      <c r="D69" s="28">
        <f>PROGRAMADO!D69/'Anexo '!$B$23</f>
        <v>0</v>
      </c>
      <c r="E69" s="28">
        <f>PROGRAMADO!E69/'Anexo '!$B$23</f>
        <v>0</v>
      </c>
      <c r="F69" s="28">
        <f>PROGRAMADO!F69/'Anexo '!$B$23</f>
        <v>0</v>
      </c>
      <c r="G69" s="28">
        <f>PROGRAMADO!G69/'Anexo '!$B$23</f>
        <v>0</v>
      </c>
      <c r="H69" s="28">
        <f>PROGRAMADO!H69/'Anexo '!$B$23</f>
        <v>0</v>
      </c>
      <c r="I69" s="28">
        <f>PROGRAMADO!I69/'Anexo '!$C$23</f>
        <v>0</v>
      </c>
      <c r="J69" s="28">
        <f>PROGRAMADO!J69/'Anexo '!$C$23</f>
        <v>0</v>
      </c>
      <c r="K69" s="28">
        <f>PROGRAMADO!K69/'Anexo '!$C$23</f>
        <v>0</v>
      </c>
      <c r="L69" s="28">
        <f>PROGRAMADO!L69/'Anexo '!$C$23</f>
        <v>0</v>
      </c>
      <c r="M69" s="28">
        <f>PROGRAMADO!M69/'Anexo '!$C$23</f>
        <v>0</v>
      </c>
      <c r="N69" s="28">
        <f>PROGRAMADO!N69/'Anexo '!$C$23</f>
        <v>0</v>
      </c>
      <c r="O69" s="28">
        <f>PROGRAMADO!O69/'Anexo '!$C$23</f>
        <v>0</v>
      </c>
      <c r="P69" s="28">
        <f>PROGRAMADO!P69/'Anexo '!$D$23</f>
        <v>0</v>
      </c>
      <c r="Q69" s="28">
        <f>PROGRAMADO!Q69/'Anexo '!$D$23</f>
        <v>0</v>
      </c>
      <c r="R69" s="28">
        <f>PROGRAMADO!R69/'Anexo '!$D$23</f>
        <v>0</v>
      </c>
      <c r="S69" s="28">
        <f>PROGRAMADO!S69/'Anexo '!$D$23</f>
        <v>0</v>
      </c>
      <c r="T69" s="28">
        <f>PROGRAMADO!T69/'Anexo '!$D$23</f>
        <v>0</v>
      </c>
      <c r="U69" s="28">
        <f>PROGRAMADO!U69/'Anexo '!$D$23</f>
        <v>0</v>
      </c>
      <c r="V69" s="28">
        <f>PROGRAMADO!V69/'Anexo '!$D$23</f>
        <v>0</v>
      </c>
      <c r="W69" s="28">
        <f>PROGRAMADO!W69/'Anexo '!$E$23</f>
        <v>0</v>
      </c>
      <c r="X69" s="28">
        <f>PROGRAMADO!X69/'Anexo '!$E$23</f>
        <v>0</v>
      </c>
      <c r="Y69" s="28">
        <f>PROGRAMADO!Y69/'Anexo '!$E$23</f>
        <v>0</v>
      </c>
      <c r="Z69" s="28">
        <f>PROGRAMADO!Z69/'Anexo '!$E$23</f>
        <v>0</v>
      </c>
      <c r="AA69" s="28">
        <f>PROGRAMADO!AA69/'Anexo '!$E$23</f>
        <v>0</v>
      </c>
      <c r="AB69" s="28">
        <f>PROGRAMADO!AB69/'Anexo '!$E$23</f>
        <v>0</v>
      </c>
      <c r="AC69" s="28">
        <f>PROGRAMADO!AC69/'Anexo '!$E$23</f>
        <v>0</v>
      </c>
      <c r="AD69" s="28">
        <f>PROGRAMADO!AD69/'Anexo '!$F$23</f>
        <v>0</v>
      </c>
      <c r="AE69" s="28">
        <f>PROGRAMADO!AE69/'Anexo '!$F$23</f>
        <v>39564.65566306204</v>
      </c>
      <c r="AF69" s="28">
        <f>PROGRAMADO!AF69/'Anexo '!$F$23</f>
        <v>39564.65566306204</v>
      </c>
      <c r="AG69" s="28">
        <f>PROGRAMADO!AG69/'Anexo '!$F$23</f>
        <v>249724.81502561184</v>
      </c>
      <c r="AH69" s="28">
        <f>PROGRAMADO!AH69/'Anexo '!$F$23</f>
        <v>943507.96812749014</v>
      </c>
      <c r="AI69" s="28">
        <f>PROGRAMADO!AI69/'Anexo '!$F$23</f>
        <v>1193232.7831531018</v>
      </c>
      <c r="AJ69" s="28">
        <f>PROGRAMADO!AJ69/'Anexo '!$F$23</f>
        <v>1232797.4388161639</v>
      </c>
      <c r="AK69" s="28">
        <f>PROGRAMADO!AK69/'Anexo '!$G$23</f>
        <v>0</v>
      </c>
      <c r="AL69" s="28">
        <f>PROGRAMADO!AL69/'Anexo '!$G$23</f>
        <v>0</v>
      </c>
      <c r="AM69" s="28">
        <f>PROGRAMADO!AM69/'Anexo '!$G$23</f>
        <v>0</v>
      </c>
      <c r="AN69" s="28">
        <f>PROGRAMADO!AN69/'Anexo '!$G$23</f>
        <v>0</v>
      </c>
      <c r="AO69" s="28">
        <f>PROGRAMADO!AO69/'Anexo '!$G$23</f>
        <v>563074.39629238157</v>
      </c>
      <c r="AP69" s="28">
        <f>PROGRAMADO!AP69/'Anexo '!$G$23</f>
        <v>563074.39629238157</v>
      </c>
      <c r="AQ69" s="28">
        <f>PROGRAMADO!AQ69/'Anexo '!$G$23</f>
        <v>563074.39629238157</v>
      </c>
      <c r="AR69" s="28">
        <f>PROGRAMADO!AR69/'Anexo '!$H$23</f>
        <v>0</v>
      </c>
      <c r="AS69" s="28">
        <f>PROGRAMADO!AS69/'Anexo '!$H$23</f>
        <v>0</v>
      </c>
      <c r="AT69" s="28">
        <f>PROGRAMADO!AT69/'Anexo '!$H$23</f>
        <v>0</v>
      </c>
      <c r="AU69" s="28">
        <f>PROGRAMADO!AU69/'Anexo '!$H$23</f>
        <v>0</v>
      </c>
      <c r="AV69" s="28">
        <f>PROGRAMADO!AV69/'Anexo '!$H$23</f>
        <v>2133089.6814458054</v>
      </c>
      <c r="AW69" s="28">
        <f>PROGRAMADO!AW69/'Anexo '!$H$23</f>
        <v>2133089.6814458054</v>
      </c>
      <c r="AX69" s="28">
        <f>PROGRAMADO!AX69/'Anexo '!$H$23</f>
        <v>2133089.6814458054</v>
      </c>
      <c r="AY69" s="28">
        <f>PROGRAMADO!AY69/'Anexo '!$I$23</f>
        <v>0</v>
      </c>
      <c r="AZ69" s="28">
        <f>PROGRAMADO!AZ69/'Anexo '!$I$23</f>
        <v>0</v>
      </c>
      <c r="BA69" s="28">
        <f>PROGRAMADO!BA69/'Anexo '!$I$23</f>
        <v>0</v>
      </c>
      <c r="BB69" s="28">
        <f>PROGRAMADO!BB69/'Anexo '!$I$23</f>
        <v>0</v>
      </c>
      <c r="BC69" s="28">
        <f>PROGRAMADO!BC69/'Anexo '!$I$23</f>
        <v>1928734.3495765107</v>
      </c>
      <c r="BD69" s="28">
        <f>PROGRAMADO!BD69/'Anexo '!$I$23</f>
        <v>1928734.3495765107</v>
      </c>
      <c r="BE69" s="28">
        <f>PROGRAMADO!BE69/'Anexo '!$I$23</f>
        <v>1928734.3495765107</v>
      </c>
      <c r="BF69" s="28">
        <f>PROGRAMADO!BF69/'Anexo '!$J$23</f>
        <v>0</v>
      </c>
      <c r="BG69" s="28">
        <f>PROGRAMADO!BG69/'Anexo '!$J$23</f>
        <v>0</v>
      </c>
      <c r="BH69" s="28">
        <f>PROGRAMADO!BH69/'Anexo '!$J$23</f>
        <v>0</v>
      </c>
      <c r="BI69" s="28">
        <f>PROGRAMADO!BI69/'Anexo '!$J$23</f>
        <v>0</v>
      </c>
      <c r="BJ69" s="28">
        <f>PROGRAMADO!BJ69/'Anexo '!$J$23</f>
        <v>2350040.9713247549</v>
      </c>
      <c r="BK69" s="28">
        <f>PROGRAMADO!BK69/'Anexo '!$J$23</f>
        <v>2350040.9713247549</v>
      </c>
      <c r="BL69" s="28">
        <f>PROGRAMADO!BL69/'Anexo '!$J$23</f>
        <v>2350040.9713247549</v>
      </c>
      <c r="BM69" s="28">
        <f>PROGRAMADO!BM69/'Anexo '!$K$23</f>
        <v>0</v>
      </c>
      <c r="BN69" s="28">
        <f>PROGRAMADO!BN69/'Anexo '!$K$23</f>
        <v>0</v>
      </c>
      <c r="BO69" s="28">
        <f>PROGRAMADO!BO69/'Anexo '!$K$23</f>
        <v>0</v>
      </c>
      <c r="BP69" s="28">
        <f>PROGRAMADO!BP69/'Anexo '!$K$23</f>
        <v>0</v>
      </c>
      <c r="BQ69" s="28">
        <f>PROGRAMADO!BQ69/'Anexo '!$K$23</f>
        <v>3336090.6249024495</v>
      </c>
      <c r="BR69" s="28">
        <f>PROGRAMADO!BR69/'Anexo '!$K$23</f>
        <v>3336090.6249024495</v>
      </c>
      <c r="BS69" s="28">
        <f>PROGRAMADO!BS69/'Anexo '!$K$23</f>
        <v>3336090.6249024495</v>
      </c>
      <c r="BT69" s="28">
        <f>PROGRAMADO!BT69/'Anexo '!$L$23</f>
        <v>0</v>
      </c>
      <c r="BU69" s="28">
        <f>PROGRAMADO!BU69/'Anexo '!$L$23</f>
        <v>0</v>
      </c>
      <c r="BV69" s="28">
        <f>PROGRAMADO!BV69/'Anexo '!$L$23</f>
        <v>0</v>
      </c>
      <c r="BW69" s="28">
        <f>PROGRAMADO!BW69/'Anexo '!$L$23</f>
        <v>0</v>
      </c>
      <c r="BX69" s="28">
        <f>PROGRAMADO!BX69/'Anexo '!$L$23</f>
        <v>0</v>
      </c>
      <c r="BY69" s="28">
        <f>PROGRAMADO!BY69/'Anexo '!$L$23</f>
        <v>1690059.0842878195</v>
      </c>
      <c r="BZ69" s="28">
        <f>PROGRAMADO!BZ69/'Anexo '!$L$23</f>
        <v>1690059.0842878195</v>
      </c>
      <c r="CA69" s="28">
        <f>PROGRAMADO!CA69/'Anexo '!$L$23</f>
        <v>1690059.0842878195</v>
      </c>
      <c r="CB69" s="28">
        <f>PROGRAMADO!CB69/'Anexo '!$M$23</f>
        <v>66253.643100204645</v>
      </c>
      <c r="CC69" s="28">
        <f>PROGRAMADO!CC69/'Anexo '!$M$23</f>
        <v>0</v>
      </c>
      <c r="CD69" s="28">
        <f>PROGRAMADO!CD69/'Anexo '!$M$23</f>
        <v>0</v>
      </c>
      <c r="CE69" s="28">
        <f>PROGRAMADO!CE69/'Anexo '!$M$23</f>
        <v>66253.643100204645</v>
      </c>
      <c r="CF69" s="28">
        <f>PROGRAMADO!CF69/'Anexo '!$M$23</f>
        <v>62978.869278282335</v>
      </c>
      <c r="CG69" s="28">
        <f>PROGRAMADO!CG69/'Anexo '!$M$23</f>
        <v>626078.78446746909</v>
      </c>
      <c r="CH69" s="28">
        <f>PROGRAMADO!CH69/'Anexo '!$M$23</f>
        <v>689057.65374575148</v>
      </c>
      <c r="CI69" s="29">
        <f>PROGRAMADO!CI69/'Anexo '!$M$23</f>
        <v>755311.29684595612</v>
      </c>
    </row>
    <row r="70" spans="1:87" x14ac:dyDescent="0.25">
      <c r="A70" s="15" t="s">
        <v>109</v>
      </c>
      <c r="B70" s="27">
        <f>PROGRAMADO!B70/'Anexo '!$B$23</f>
        <v>0</v>
      </c>
      <c r="C70" s="28">
        <f>PROGRAMADO!C70/'Anexo '!$B$23</f>
        <v>0</v>
      </c>
      <c r="D70" s="28">
        <f>PROGRAMADO!D70/'Anexo '!$B$23</f>
        <v>0</v>
      </c>
      <c r="E70" s="28">
        <f>PROGRAMADO!E70/'Anexo '!$B$23</f>
        <v>0</v>
      </c>
      <c r="F70" s="28">
        <f>PROGRAMADO!F70/'Anexo '!$B$23</f>
        <v>0</v>
      </c>
      <c r="G70" s="28">
        <f>PROGRAMADO!G70/'Anexo '!$B$23</f>
        <v>0</v>
      </c>
      <c r="H70" s="28">
        <f>PROGRAMADO!H70/'Anexo '!$B$23</f>
        <v>0</v>
      </c>
      <c r="I70" s="28">
        <f>PROGRAMADO!I70/'Anexo '!$C$23</f>
        <v>0</v>
      </c>
      <c r="J70" s="28">
        <f>PROGRAMADO!J70/'Anexo '!$C$23</f>
        <v>0</v>
      </c>
      <c r="K70" s="28">
        <f>PROGRAMADO!K70/'Anexo '!$C$23</f>
        <v>0</v>
      </c>
      <c r="L70" s="28">
        <f>PROGRAMADO!L70/'Anexo '!$C$23</f>
        <v>0</v>
      </c>
      <c r="M70" s="28">
        <f>PROGRAMADO!M70/'Anexo '!$C$23</f>
        <v>0</v>
      </c>
      <c r="N70" s="28">
        <f>PROGRAMADO!N70/'Anexo '!$C$23</f>
        <v>0</v>
      </c>
      <c r="O70" s="28">
        <f>PROGRAMADO!O70/'Anexo '!$C$23</f>
        <v>0</v>
      </c>
      <c r="P70" s="28">
        <f>PROGRAMADO!P70/'Anexo '!$D$23</f>
        <v>0</v>
      </c>
      <c r="Q70" s="28">
        <f>PROGRAMADO!Q70/'Anexo '!$D$23</f>
        <v>0</v>
      </c>
      <c r="R70" s="28">
        <f>PROGRAMADO!R70/'Anexo '!$D$23</f>
        <v>0</v>
      </c>
      <c r="S70" s="28">
        <f>PROGRAMADO!S70/'Anexo '!$D$23</f>
        <v>0</v>
      </c>
      <c r="T70" s="28">
        <f>PROGRAMADO!T70/'Anexo '!$D$23</f>
        <v>0</v>
      </c>
      <c r="U70" s="28">
        <f>PROGRAMADO!U70/'Anexo '!$D$23</f>
        <v>0</v>
      </c>
      <c r="V70" s="28">
        <f>PROGRAMADO!V70/'Anexo '!$D$23</f>
        <v>0</v>
      </c>
      <c r="W70" s="28">
        <f>PROGRAMADO!W70/'Anexo '!$E$23</f>
        <v>0</v>
      </c>
      <c r="X70" s="28">
        <f>PROGRAMADO!X70/'Anexo '!$E$23</f>
        <v>0</v>
      </c>
      <c r="Y70" s="28">
        <f>PROGRAMADO!Y70/'Anexo '!$E$23</f>
        <v>0</v>
      </c>
      <c r="Z70" s="28">
        <f>PROGRAMADO!Z70/'Anexo '!$E$23</f>
        <v>0</v>
      </c>
      <c r="AA70" s="28">
        <f>PROGRAMADO!AA70/'Anexo '!$E$23</f>
        <v>0</v>
      </c>
      <c r="AB70" s="28">
        <f>PROGRAMADO!AB70/'Anexo '!$E$23</f>
        <v>0</v>
      </c>
      <c r="AC70" s="28">
        <f>PROGRAMADO!AC70/'Anexo '!$E$23</f>
        <v>0</v>
      </c>
      <c r="AD70" s="28">
        <f>PROGRAMADO!AD70/'Anexo '!$F$23</f>
        <v>0</v>
      </c>
      <c r="AE70" s="28">
        <f>PROGRAMADO!AE70/'Anexo '!$F$23</f>
        <v>0</v>
      </c>
      <c r="AF70" s="28">
        <f>PROGRAMADO!AF70/'Anexo '!$F$23</f>
        <v>0</v>
      </c>
      <c r="AG70" s="28">
        <f>PROGRAMADO!AG70/'Anexo '!$F$23</f>
        <v>0</v>
      </c>
      <c r="AH70" s="28">
        <f>PROGRAMADO!AH70/'Anexo '!$F$23</f>
        <v>0</v>
      </c>
      <c r="AI70" s="28">
        <f>PROGRAMADO!AI70/'Anexo '!$F$23</f>
        <v>0</v>
      </c>
      <c r="AJ70" s="28">
        <f>PROGRAMADO!AJ70/'Anexo '!$F$23</f>
        <v>0</v>
      </c>
      <c r="AK70" s="28">
        <f>PROGRAMADO!AK70/'Anexo '!$G$23</f>
        <v>0</v>
      </c>
      <c r="AL70" s="28">
        <f>PROGRAMADO!AL70/'Anexo '!$G$23</f>
        <v>0</v>
      </c>
      <c r="AM70" s="28">
        <f>PROGRAMADO!AM70/'Anexo '!$G$23</f>
        <v>0</v>
      </c>
      <c r="AN70" s="28">
        <f>PROGRAMADO!AN70/'Anexo '!$G$23</f>
        <v>26289.400222240292</v>
      </c>
      <c r="AO70" s="28">
        <f>PROGRAMADO!AO70/'Anexo '!$G$23</f>
        <v>0</v>
      </c>
      <c r="AP70" s="28">
        <f>PROGRAMADO!AP70/'Anexo '!$G$23</f>
        <v>26289.400222240292</v>
      </c>
      <c r="AQ70" s="28">
        <f>PROGRAMADO!AQ70/'Anexo '!$G$23</f>
        <v>26289.400222240292</v>
      </c>
      <c r="AR70" s="28">
        <f>PROGRAMADO!AR70/'Anexo '!$H$23</f>
        <v>0</v>
      </c>
      <c r="AS70" s="28">
        <f>PROGRAMADO!AS70/'Anexo '!$H$23</f>
        <v>0</v>
      </c>
      <c r="AT70" s="28">
        <f>PROGRAMADO!AT70/'Anexo '!$H$23</f>
        <v>0</v>
      </c>
      <c r="AU70" s="28">
        <f>PROGRAMADO!AU70/'Anexo '!$H$23</f>
        <v>0</v>
      </c>
      <c r="AV70" s="28">
        <f>PROGRAMADO!AV70/'Anexo '!$H$23</f>
        <v>0</v>
      </c>
      <c r="AW70" s="28">
        <f>PROGRAMADO!AW70/'Anexo '!$H$23</f>
        <v>0</v>
      </c>
      <c r="AX70" s="28">
        <f>PROGRAMADO!AX70/'Anexo '!$H$23</f>
        <v>0</v>
      </c>
      <c r="AY70" s="28">
        <f>PROGRAMADO!AY70/'Anexo '!$I$23</f>
        <v>0</v>
      </c>
      <c r="AZ70" s="28">
        <f>PROGRAMADO!AZ70/'Anexo '!$I$23</f>
        <v>0</v>
      </c>
      <c r="BA70" s="28">
        <f>PROGRAMADO!BA70/'Anexo '!$I$23</f>
        <v>0</v>
      </c>
      <c r="BB70" s="28">
        <f>PROGRAMADO!BB70/'Anexo '!$I$23</f>
        <v>0</v>
      </c>
      <c r="BC70" s="28">
        <f>PROGRAMADO!BC70/'Anexo '!$I$23</f>
        <v>0</v>
      </c>
      <c r="BD70" s="28">
        <f>PROGRAMADO!BD70/'Anexo '!$I$23</f>
        <v>0</v>
      </c>
      <c r="BE70" s="28">
        <f>PROGRAMADO!BE70/'Anexo '!$I$23</f>
        <v>0</v>
      </c>
      <c r="BF70" s="28">
        <f>PROGRAMADO!BF70/'Anexo '!$J$23</f>
        <v>0</v>
      </c>
      <c r="BG70" s="28">
        <f>PROGRAMADO!BG70/'Anexo '!$J$23</f>
        <v>0</v>
      </c>
      <c r="BH70" s="28">
        <f>PROGRAMADO!BH70/'Anexo '!$J$23</f>
        <v>0</v>
      </c>
      <c r="BI70" s="28">
        <f>PROGRAMADO!BI70/'Anexo '!$J$23</f>
        <v>0</v>
      </c>
      <c r="BJ70" s="28">
        <f>PROGRAMADO!BJ70/'Anexo '!$J$23</f>
        <v>0</v>
      </c>
      <c r="BK70" s="28">
        <f>PROGRAMADO!BK70/'Anexo '!$J$23</f>
        <v>0</v>
      </c>
      <c r="BL70" s="28">
        <f>PROGRAMADO!BL70/'Anexo '!$J$23</f>
        <v>0</v>
      </c>
      <c r="BM70" s="28">
        <f>PROGRAMADO!BM70/'Anexo '!$K$23</f>
        <v>0</v>
      </c>
      <c r="BN70" s="28">
        <f>PROGRAMADO!BN70/'Anexo '!$K$23</f>
        <v>0</v>
      </c>
      <c r="BO70" s="28">
        <f>PROGRAMADO!BO70/'Anexo '!$K$23</f>
        <v>0</v>
      </c>
      <c r="BP70" s="28">
        <f>PROGRAMADO!BP70/'Anexo '!$K$23</f>
        <v>0</v>
      </c>
      <c r="BQ70" s="28">
        <f>PROGRAMADO!BQ70/'Anexo '!$K$23</f>
        <v>0</v>
      </c>
      <c r="BR70" s="28">
        <f>PROGRAMADO!BR70/'Anexo '!$K$23</f>
        <v>0</v>
      </c>
      <c r="BS70" s="28">
        <f>PROGRAMADO!BS70/'Anexo '!$K$23</f>
        <v>0</v>
      </c>
      <c r="BT70" s="28">
        <f>PROGRAMADO!BT70/'Anexo '!$L$23</f>
        <v>0</v>
      </c>
      <c r="BU70" s="28">
        <f>PROGRAMADO!BU70/'Anexo '!$L$23</f>
        <v>0</v>
      </c>
      <c r="BV70" s="28">
        <f>PROGRAMADO!BV70/'Anexo '!$L$23</f>
        <v>0</v>
      </c>
      <c r="BW70" s="28">
        <f>PROGRAMADO!BW70/'Anexo '!$L$23</f>
        <v>0</v>
      </c>
      <c r="BX70" s="28">
        <f>PROGRAMADO!BX70/'Anexo '!$L$23</f>
        <v>0</v>
      </c>
      <c r="BY70" s="28">
        <f>PROGRAMADO!BY70/'Anexo '!$L$23</f>
        <v>0</v>
      </c>
      <c r="BZ70" s="28">
        <f>PROGRAMADO!BZ70/'Anexo '!$L$23</f>
        <v>0</v>
      </c>
      <c r="CA70" s="28">
        <f>PROGRAMADO!CA70/'Anexo '!$L$23</f>
        <v>0</v>
      </c>
      <c r="CB70" s="28">
        <f>PROGRAMADO!CB70/'Anexo '!$M$23</f>
        <v>0</v>
      </c>
      <c r="CC70" s="28">
        <f>PROGRAMADO!CC70/'Anexo '!$M$23</f>
        <v>0</v>
      </c>
      <c r="CD70" s="28">
        <f>PROGRAMADO!CD70/'Anexo '!$M$23</f>
        <v>0</v>
      </c>
      <c r="CE70" s="28">
        <f>PROGRAMADO!CE70/'Anexo '!$M$23</f>
        <v>0</v>
      </c>
      <c r="CF70" s="28">
        <f>PROGRAMADO!CF70/'Anexo '!$M$23</f>
        <v>0</v>
      </c>
      <c r="CG70" s="28">
        <f>PROGRAMADO!CG70/'Anexo '!$M$23</f>
        <v>0</v>
      </c>
      <c r="CH70" s="28">
        <f>PROGRAMADO!CH70/'Anexo '!$M$23</f>
        <v>0</v>
      </c>
      <c r="CI70" s="29">
        <f>PROGRAMADO!CI70/'Anexo '!$M$23</f>
        <v>0</v>
      </c>
    </row>
    <row r="71" spans="1:87" x14ac:dyDescent="0.25">
      <c r="A71" s="15" t="s">
        <v>110</v>
      </c>
      <c r="B71" s="27">
        <f>PROGRAMADO!B71/'Anexo '!$B$23</f>
        <v>0</v>
      </c>
      <c r="C71" s="28">
        <f>PROGRAMADO!C71/'Anexo '!$B$23</f>
        <v>0</v>
      </c>
      <c r="D71" s="28">
        <f>PROGRAMADO!D71/'Anexo '!$B$23</f>
        <v>0</v>
      </c>
      <c r="E71" s="28">
        <f>PROGRAMADO!E71/'Anexo '!$B$23</f>
        <v>0</v>
      </c>
      <c r="F71" s="28">
        <f>PROGRAMADO!F71/'Anexo '!$B$23</f>
        <v>0</v>
      </c>
      <c r="G71" s="28">
        <f>PROGRAMADO!G71/'Anexo '!$B$23</f>
        <v>0</v>
      </c>
      <c r="H71" s="28">
        <f>PROGRAMADO!H71/'Anexo '!$B$23</f>
        <v>0</v>
      </c>
      <c r="I71" s="28">
        <f>PROGRAMADO!I71/'Anexo '!$C$23</f>
        <v>0</v>
      </c>
      <c r="J71" s="28">
        <f>PROGRAMADO!J71/'Anexo '!$C$23</f>
        <v>0</v>
      </c>
      <c r="K71" s="28">
        <f>PROGRAMADO!K71/'Anexo '!$C$23</f>
        <v>0</v>
      </c>
      <c r="L71" s="28">
        <f>PROGRAMADO!L71/'Anexo '!$C$23</f>
        <v>0</v>
      </c>
      <c r="M71" s="28">
        <f>PROGRAMADO!M71/'Anexo '!$C$23</f>
        <v>0</v>
      </c>
      <c r="N71" s="28">
        <f>PROGRAMADO!N71/'Anexo '!$C$23</f>
        <v>0</v>
      </c>
      <c r="O71" s="28">
        <f>PROGRAMADO!O71/'Anexo '!$C$23</f>
        <v>0</v>
      </c>
      <c r="P71" s="28">
        <f>PROGRAMADO!P71/'Anexo '!$D$23</f>
        <v>0</v>
      </c>
      <c r="Q71" s="28">
        <f>PROGRAMADO!Q71/'Anexo '!$D$23</f>
        <v>0</v>
      </c>
      <c r="R71" s="28">
        <f>PROGRAMADO!R71/'Anexo '!$D$23</f>
        <v>0</v>
      </c>
      <c r="S71" s="28">
        <f>PROGRAMADO!S71/'Anexo '!$D$23</f>
        <v>0</v>
      </c>
      <c r="T71" s="28">
        <f>PROGRAMADO!T71/'Anexo '!$D$23</f>
        <v>0</v>
      </c>
      <c r="U71" s="28">
        <f>PROGRAMADO!U71/'Anexo '!$D$23</f>
        <v>0</v>
      </c>
      <c r="V71" s="28">
        <f>PROGRAMADO!V71/'Anexo '!$D$23</f>
        <v>0</v>
      </c>
      <c r="W71" s="28">
        <f>PROGRAMADO!W71/'Anexo '!$E$23</f>
        <v>0</v>
      </c>
      <c r="X71" s="28">
        <f>PROGRAMADO!X71/'Anexo '!$E$23</f>
        <v>0</v>
      </c>
      <c r="Y71" s="28">
        <f>PROGRAMADO!Y71/'Anexo '!$E$23</f>
        <v>0</v>
      </c>
      <c r="Z71" s="28">
        <f>PROGRAMADO!Z71/'Anexo '!$E$23</f>
        <v>0</v>
      </c>
      <c r="AA71" s="28">
        <f>PROGRAMADO!AA71/'Anexo '!$E$23</f>
        <v>0</v>
      </c>
      <c r="AB71" s="28">
        <f>PROGRAMADO!AB71/'Anexo '!$E$23</f>
        <v>0</v>
      </c>
      <c r="AC71" s="28">
        <f>PROGRAMADO!AC71/'Anexo '!$E$23</f>
        <v>0</v>
      </c>
      <c r="AD71" s="28">
        <f>PROGRAMADO!AD71/'Anexo '!$F$23</f>
        <v>0</v>
      </c>
      <c r="AE71" s="28">
        <f>PROGRAMADO!AE71/'Anexo '!$F$23</f>
        <v>0</v>
      </c>
      <c r="AF71" s="28">
        <f>PROGRAMADO!AF71/'Anexo '!$F$23</f>
        <v>0</v>
      </c>
      <c r="AG71" s="28">
        <f>PROGRAMADO!AG71/'Anexo '!$F$23</f>
        <v>0</v>
      </c>
      <c r="AH71" s="28">
        <f>PROGRAMADO!AH71/'Anexo '!$F$23</f>
        <v>0</v>
      </c>
      <c r="AI71" s="28">
        <f>PROGRAMADO!AI71/'Anexo '!$F$23</f>
        <v>0</v>
      </c>
      <c r="AJ71" s="28">
        <f>PROGRAMADO!AJ71/'Anexo '!$F$23</f>
        <v>0</v>
      </c>
      <c r="AK71" s="28">
        <f>PROGRAMADO!AK71/'Anexo '!$G$23</f>
        <v>0</v>
      </c>
      <c r="AL71" s="28">
        <f>PROGRAMADO!AL71/'Anexo '!$G$23</f>
        <v>54204.948911835651</v>
      </c>
      <c r="AM71" s="28">
        <f>PROGRAMADO!AM71/'Anexo '!$G$23</f>
        <v>54204.948911835651</v>
      </c>
      <c r="AN71" s="28">
        <f>PROGRAMADO!AN71/'Anexo '!$G$23</f>
        <v>0</v>
      </c>
      <c r="AO71" s="28">
        <f>PROGRAMADO!AO71/'Anexo '!$G$23</f>
        <v>0</v>
      </c>
      <c r="AP71" s="28">
        <f>PROGRAMADO!AP71/'Anexo '!$G$23</f>
        <v>0</v>
      </c>
      <c r="AQ71" s="28">
        <f>PROGRAMADO!AQ71/'Anexo '!$G$23</f>
        <v>54204.948911835651</v>
      </c>
      <c r="AR71" s="28">
        <f>PROGRAMADO!AR71/'Anexo '!$H$23</f>
        <v>0</v>
      </c>
      <c r="AS71" s="28">
        <f>PROGRAMADO!AS71/'Anexo '!$H$23</f>
        <v>0</v>
      </c>
      <c r="AT71" s="28">
        <f>PROGRAMADO!AT71/'Anexo '!$H$23</f>
        <v>0</v>
      </c>
      <c r="AU71" s="28">
        <f>PROGRAMADO!AU71/'Anexo '!$H$23</f>
        <v>0</v>
      </c>
      <c r="AV71" s="28">
        <f>PROGRAMADO!AV71/'Anexo '!$H$23</f>
        <v>0</v>
      </c>
      <c r="AW71" s="28">
        <f>PROGRAMADO!AW71/'Anexo '!$H$23</f>
        <v>0</v>
      </c>
      <c r="AX71" s="28">
        <f>PROGRAMADO!AX71/'Anexo '!$H$23</f>
        <v>0</v>
      </c>
      <c r="AY71" s="28">
        <f>PROGRAMADO!AY71/'Anexo '!$I$23</f>
        <v>0</v>
      </c>
      <c r="AZ71" s="28">
        <f>PROGRAMADO!AZ71/'Anexo '!$I$23</f>
        <v>0</v>
      </c>
      <c r="BA71" s="28">
        <f>PROGRAMADO!BA71/'Anexo '!$I$23</f>
        <v>0</v>
      </c>
      <c r="BB71" s="28">
        <f>PROGRAMADO!BB71/'Anexo '!$I$23</f>
        <v>0</v>
      </c>
      <c r="BC71" s="28">
        <f>PROGRAMADO!BC71/'Anexo '!$I$23</f>
        <v>0</v>
      </c>
      <c r="BD71" s="28">
        <f>PROGRAMADO!BD71/'Anexo '!$I$23</f>
        <v>0</v>
      </c>
      <c r="BE71" s="28">
        <f>PROGRAMADO!BE71/'Anexo '!$I$23</f>
        <v>0</v>
      </c>
      <c r="BF71" s="28">
        <f>PROGRAMADO!BF71/'Anexo '!$J$23</f>
        <v>0</v>
      </c>
      <c r="BG71" s="28">
        <f>PROGRAMADO!BG71/'Anexo '!$J$23</f>
        <v>0</v>
      </c>
      <c r="BH71" s="28">
        <f>PROGRAMADO!BH71/'Anexo '!$J$23</f>
        <v>0</v>
      </c>
      <c r="BI71" s="28">
        <f>PROGRAMADO!BI71/'Anexo '!$J$23</f>
        <v>0</v>
      </c>
      <c r="BJ71" s="28">
        <f>PROGRAMADO!BJ71/'Anexo '!$J$23</f>
        <v>0</v>
      </c>
      <c r="BK71" s="28">
        <f>PROGRAMADO!BK71/'Anexo '!$J$23</f>
        <v>0</v>
      </c>
      <c r="BL71" s="28">
        <f>PROGRAMADO!BL71/'Anexo '!$J$23</f>
        <v>0</v>
      </c>
      <c r="BM71" s="28">
        <f>PROGRAMADO!BM71/'Anexo '!$K$23</f>
        <v>0</v>
      </c>
      <c r="BN71" s="28">
        <f>PROGRAMADO!BN71/'Anexo '!$K$23</f>
        <v>0</v>
      </c>
      <c r="BO71" s="28">
        <f>PROGRAMADO!BO71/'Anexo '!$K$23</f>
        <v>0</v>
      </c>
      <c r="BP71" s="28">
        <f>PROGRAMADO!BP71/'Anexo '!$K$23</f>
        <v>0</v>
      </c>
      <c r="BQ71" s="28">
        <f>PROGRAMADO!BQ71/'Anexo '!$K$23</f>
        <v>0</v>
      </c>
      <c r="BR71" s="28">
        <f>PROGRAMADO!BR71/'Anexo '!$K$23</f>
        <v>0</v>
      </c>
      <c r="BS71" s="28">
        <f>PROGRAMADO!BS71/'Anexo '!$K$23</f>
        <v>0</v>
      </c>
      <c r="BT71" s="28">
        <f>PROGRAMADO!BT71/'Anexo '!$L$23</f>
        <v>0</v>
      </c>
      <c r="BU71" s="28">
        <f>PROGRAMADO!BU71/'Anexo '!$L$23</f>
        <v>0</v>
      </c>
      <c r="BV71" s="28">
        <f>PROGRAMADO!BV71/'Anexo '!$L$23</f>
        <v>0</v>
      </c>
      <c r="BW71" s="28">
        <f>PROGRAMADO!BW71/'Anexo '!$L$23</f>
        <v>0</v>
      </c>
      <c r="BX71" s="28">
        <f>PROGRAMADO!BX71/'Anexo '!$L$23</f>
        <v>0</v>
      </c>
      <c r="BY71" s="28">
        <f>PROGRAMADO!BY71/'Anexo '!$L$23</f>
        <v>0</v>
      </c>
      <c r="BZ71" s="28">
        <f>PROGRAMADO!BZ71/'Anexo '!$L$23</f>
        <v>0</v>
      </c>
      <c r="CA71" s="28">
        <f>PROGRAMADO!CA71/'Anexo '!$L$23</f>
        <v>0</v>
      </c>
      <c r="CB71" s="28">
        <f>PROGRAMADO!CB71/'Anexo '!$M$23</f>
        <v>0</v>
      </c>
      <c r="CC71" s="28">
        <f>PROGRAMADO!CC71/'Anexo '!$M$23</f>
        <v>0</v>
      </c>
      <c r="CD71" s="28">
        <f>PROGRAMADO!CD71/'Anexo '!$M$23</f>
        <v>0</v>
      </c>
      <c r="CE71" s="28">
        <f>PROGRAMADO!CE71/'Anexo '!$M$23</f>
        <v>0</v>
      </c>
      <c r="CF71" s="28">
        <f>PROGRAMADO!CF71/'Anexo '!$M$23</f>
        <v>0</v>
      </c>
      <c r="CG71" s="28">
        <f>PROGRAMADO!CG71/'Anexo '!$M$23</f>
        <v>0</v>
      </c>
      <c r="CH71" s="28">
        <f>PROGRAMADO!CH71/'Anexo '!$M$23</f>
        <v>0</v>
      </c>
      <c r="CI71" s="29">
        <f>PROGRAMADO!CI71/'Anexo '!$M$23</f>
        <v>0</v>
      </c>
    </row>
    <row r="72" spans="1:87" x14ac:dyDescent="0.25">
      <c r="A72" s="15" t="s">
        <v>113</v>
      </c>
      <c r="B72" s="27">
        <f>PROGRAMADO!B72/'Anexo '!$B$23</f>
        <v>0</v>
      </c>
      <c r="C72" s="28">
        <f>PROGRAMADO!C72/'Anexo '!$B$23</f>
        <v>0</v>
      </c>
      <c r="D72" s="28">
        <f>PROGRAMADO!D72/'Anexo '!$B$23</f>
        <v>0</v>
      </c>
      <c r="E72" s="28">
        <f>PROGRAMADO!E72/'Anexo '!$B$23</f>
        <v>0</v>
      </c>
      <c r="F72" s="28">
        <f>PROGRAMADO!F72/'Anexo '!$B$23</f>
        <v>0</v>
      </c>
      <c r="G72" s="28">
        <f>PROGRAMADO!G72/'Anexo '!$B$23</f>
        <v>0</v>
      </c>
      <c r="H72" s="28">
        <f>PROGRAMADO!H72/'Anexo '!$B$23</f>
        <v>0</v>
      </c>
      <c r="I72" s="28">
        <f>PROGRAMADO!I72/'Anexo '!$C$23</f>
        <v>0</v>
      </c>
      <c r="J72" s="28">
        <f>PROGRAMADO!J72/'Anexo '!$C$23</f>
        <v>0</v>
      </c>
      <c r="K72" s="28">
        <f>PROGRAMADO!K72/'Anexo '!$C$23</f>
        <v>0</v>
      </c>
      <c r="L72" s="28">
        <f>PROGRAMADO!L72/'Anexo '!$C$23</f>
        <v>0</v>
      </c>
      <c r="M72" s="28">
        <f>PROGRAMADO!M72/'Anexo '!$C$23</f>
        <v>0</v>
      </c>
      <c r="N72" s="28">
        <f>PROGRAMADO!N72/'Anexo '!$C$23</f>
        <v>0</v>
      </c>
      <c r="O72" s="28">
        <f>PROGRAMADO!O72/'Anexo '!$C$23</f>
        <v>0</v>
      </c>
      <c r="P72" s="28">
        <f>PROGRAMADO!P72/'Anexo '!$D$23</f>
        <v>0</v>
      </c>
      <c r="Q72" s="28">
        <f>PROGRAMADO!Q72/'Anexo '!$D$23</f>
        <v>0</v>
      </c>
      <c r="R72" s="28">
        <f>PROGRAMADO!R72/'Anexo '!$D$23</f>
        <v>0</v>
      </c>
      <c r="S72" s="28">
        <f>PROGRAMADO!S72/'Anexo '!$D$23</f>
        <v>0</v>
      </c>
      <c r="T72" s="28">
        <f>PROGRAMADO!T72/'Anexo '!$D$23</f>
        <v>0</v>
      </c>
      <c r="U72" s="28">
        <f>PROGRAMADO!U72/'Anexo '!$D$23</f>
        <v>0</v>
      </c>
      <c r="V72" s="28">
        <f>PROGRAMADO!V72/'Anexo '!$D$23</f>
        <v>0</v>
      </c>
      <c r="W72" s="28">
        <f>PROGRAMADO!W72/'Anexo '!$E$23</f>
        <v>0</v>
      </c>
      <c r="X72" s="28">
        <f>PROGRAMADO!X72/'Anexo '!$E$23</f>
        <v>0</v>
      </c>
      <c r="Y72" s="28">
        <f>PROGRAMADO!Y72/'Anexo '!$E$23</f>
        <v>0</v>
      </c>
      <c r="Z72" s="28">
        <f>PROGRAMADO!Z72/'Anexo '!$E$23</f>
        <v>0</v>
      </c>
      <c r="AA72" s="28">
        <f>PROGRAMADO!AA72/'Anexo '!$E$23</f>
        <v>0</v>
      </c>
      <c r="AB72" s="28">
        <f>PROGRAMADO!AB72/'Anexo '!$E$23</f>
        <v>0</v>
      </c>
      <c r="AC72" s="28">
        <f>PROGRAMADO!AC72/'Anexo '!$E$23</f>
        <v>0</v>
      </c>
      <c r="AD72" s="28">
        <f>PROGRAMADO!AD72/'Anexo '!$F$23</f>
        <v>0</v>
      </c>
      <c r="AE72" s="28">
        <f>PROGRAMADO!AE72/'Anexo '!$F$23</f>
        <v>0</v>
      </c>
      <c r="AF72" s="28">
        <f>PROGRAMADO!AF72/'Anexo '!$F$23</f>
        <v>0</v>
      </c>
      <c r="AG72" s="28">
        <f>PROGRAMADO!AG72/'Anexo '!$F$23</f>
        <v>0</v>
      </c>
      <c r="AH72" s="28">
        <f>PROGRAMADO!AH72/'Anexo '!$F$23</f>
        <v>0</v>
      </c>
      <c r="AI72" s="28">
        <f>PROGRAMADO!AI72/'Anexo '!$F$23</f>
        <v>0</v>
      </c>
      <c r="AJ72" s="28">
        <f>PROGRAMADO!AJ72/'Anexo '!$F$23</f>
        <v>0</v>
      </c>
      <c r="AK72" s="28">
        <f>PROGRAMADO!AK72/'Anexo '!$G$23</f>
        <v>0</v>
      </c>
      <c r="AL72" s="28">
        <f>PROGRAMADO!AL72/'Anexo '!$G$23</f>
        <v>0</v>
      </c>
      <c r="AM72" s="28">
        <f>PROGRAMADO!AM72/'Anexo '!$G$23</f>
        <v>0</v>
      </c>
      <c r="AN72" s="28">
        <f>PROGRAMADO!AN72/'Anexo '!$G$23</f>
        <v>0</v>
      </c>
      <c r="AO72" s="28">
        <f>PROGRAMADO!AO72/'Anexo '!$G$23</f>
        <v>0</v>
      </c>
      <c r="AP72" s="28">
        <f>PROGRAMADO!AP72/'Anexo '!$G$23</f>
        <v>0</v>
      </c>
      <c r="AQ72" s="28">
        <f>PROGRAMADO!AQ72/'Anexo '!$G$23</f>
        <v>0</v>
      </c>
      <c r="AR72" s="28">
        <f>PROGRAMADO!AR72/'Anexo '!$H$23</f>
        <v>0</v>
      </c>
      <c r="AS72" s="28">
        <f>PROGRAMADO!AS72/'Anexo '!$H$23</f>
        <v>0</v>
      </c>
      <c r="AT72" s="28">
        <f>PROGRAMADO!AT72/'Anexo '!$H$23</f>
        <v>0</v>
      </c>
      <c r="AU72" s="28">
        <f>PROGRAMADO!AU72/'Anexo '!$H$23</f>
        <v>0</v>
      </c>
      <c r="AV72" s="28">
        <f>PROGRAMADO!AV72/'Anexo '!$H$23</f>
        <v>0</v>
      </c>
      <c r="AW72" s="28">
        <f>PROGRAMADO!AW72/'Anexo '!$H$23</f>
        <v>0</v>
      </c>
      <c r="AX72" s="28">
        <f>PROGRAMADO!AX72/'Anexo '!$H$23</f>
        <v>0</v>
      </c>
      <c r="AY72" s="28">
        <f>PROGRAMADO!AY72/'Anexo '!$I$23</f>
        <v>0</v>
      </c>
      <c r="AZ72" s="28">
        <f>PROGRAMADO!AZ72/'Anexo '!$I$23</f>
        <v>0</v>
      </c>
      <c r="BA72" s="28">
        <f>PROGRAMADO!BA72/'Anexo '!$I$23</f>
        <v>0</v>
      </c>
      <c r="BB72" s="28">
        <f>PROGRAMADO!BB72/'Anexo '!$I$23</f>
        <v>0</v>
      </c>
      <c r="BC72" s="28">
        <f>PROGRAMADO!BC72/'Anexo '!$I$23</f>
        <v>0</v>
      </c>
      <c r="BD72" s="28">
        <f>PROGRAMADO!BD72/'Anexo '!$I$23</f>
        <v>0</v>
      </c>
      <c r="BE72" s="28">
        <f>PROGRAMADO!BE72/'Anexo '!$I$23</f>
        <v>0</v>
      </c>
      <c r="BF72" s="28">
        <f>PROGRAMADO!BF72/'Anexo '!$J$23</f>
        <v>0</v>
      </c>
      <c r="BG72" s="28">
        <f>PROGRAMADO!BG72/'Anexo '!$J$23</f>
        <v>0</v>
      </c>
      <c r="BH72" s="28">
        <f>PROGRAMADO!BH72/'Anexo '!$J$23</f>
        <v>0</v>
      </c>
      <c r="BI72" s="28">
        <f>PROGRAMADO!BI72/'Anexo '!$J$23</f>
        <v>0</v>
      </c>
      <c r="BJ72" s="28">
        <f>PROGRAMADO!BJ72/'Anexo '!$J$23</f>
        <v>0</v>
      </c>
      <c r="BK72" s="28">
        <f>PROGRAMADO!BK72/'Anexo '!$J$23</f>
        <v>0</v>
      </c>
      <c r="BL72" s="28">
        <f>PROGRAMADO!BL72/'Anexo '!$J$23</f>
        <v>0</v>
      </c>
      <c r="BM72" s="28">
        <f>PROGRAMADO!BM72/'Anexo '!$K$23</f>
        <v>0</v>
      </c>
      <c r="BN72" s="28">
        <f>PROGRAMADO!BN72/'Anexo '!$K$23</f>
        <v>1172834.8265051753</v>
      </c>
      <c r="BO72" s="28">
        <f>PROGRAMADO!BO72/'Anexo '!$K$23</f>
        <v>1172834.8265051753</v>
      </c>
      <c r="BP72" s="28">
        <f>PROGRAMADO!BP72/'Anexo '!$K$23</f>
        <v>0</v>
      </c>
      <c r="BQ72" s="28">
        <f>PROGRAMADO!BQ72/'Anexo '!$K$23</f>
        <v>0</v>
      </c>
      <c r="BR72" s="28">
        <f>PROGRAMADO!BR72/'Anexo '!$K$23</f>
        <v>0</v>
      </c>
      <c r="BS72" s="28">
        <f>PROGRAMADO!BS72/'Anexo '!$K$23</f>
        <v>1172834.8265051753</v>
      </c>
      <c r="BT72" s="28">
        <f>PROGRAMADO!BT72/'Anexo '!$L$23</f>
        <v>0</v>
      </c>
      <c r="BU72" s="28">
        <f>PROGRAMADO!BU72/'Anexo '!$L$23</f>
        <v>0</v>
      </c>
      <c r="BV72" s="28">
        <f>PROGRAMADO!BV72/'Anexo '!$L$23</f>
        <v>0</v>
      </c>
      <c r="BW72" s="28">
        <f>PROGRAMADO!BW72/'Anexo '!$L$23</f>
        <v>0</v>
      </c>
      <c r="BX72" s="28">
        <f>PROGRAMADO!BX72/'Anexo '!$L$23</f>
        <v>0</v>
      </c>
      <c r="BY72" s="28">
        <f>PROGRAMADO!BY72/'Anexo '!$L$23</f>
        <v>0</v>
      </c>
      <c r="BZ72" s="28">
        <f>PROGRAMADO!BZ72/'Anexo '!$L$23</f>
        <v>0</v>
      </c>
      <c r="CA72" s="28">
        <f>PROGRAMADO!CA72/'Anexo '!$L$23</f>
        <v>0</v>
      </c>
      <c r="CB72" s="28">
        <f>PROGRAMADO!CB72/'Anexo '!$M$23</f>
        <v>0</v>
      </c>
      <c r="CC72" s="28">
        <f>PROGRAMADO!CC72/'Anexo '!$M$23</f>
        <v>0</v>
      </c>
      <c r="CD72" s="28">
        <f>PROGRAMADO!CD72/'Anexo '!$M$23</f>
        <v>0</v>
      </c>
      <c r="CE72" s="28">
        <f>PROGRAMADO!CE72/'Anexo '!$M$23</f>
        <v>0</v>
      </c>
      <c r="CF72" s="28">
        <f>PROGRAMADO!CF72/'Anexo '!$M$23</f>
        <v>0</v>
      </c>
      <c r="CG72" s="28">
        <f>PROGRAMADO!CG72/'Anexo '!$M$23</f>
        <v>0</v>
      </c>
      <c r="CH72" s="28">
        <f>PROGRAMADO!CH72/'Anexo '!$M$23</f>
        <v>0</v>
      </c>
      <c r="CI72" s="29">
        <f>PROGRAMADO!CI72/'Anexo '!$M$23</f>
        <v>0</v>
      </c>
    </row>
    <row r="73" spans="1:87" x14ac:dyDescent="0.25">
      <c r="A73" s="15" t="s">
        <v>114</v>
      </c>
      <c r="B73" s="27">
        <f>PROGRAMADO!B73/'Anexo '!$B$23</f>
        <v>0</v>
      </c>
      <c r="C73" s="28">
        <f>PROGRAMADO!C73/'Anexo '!$B$23</f>
        <v>0</v>
      </c>
      <c r="D73" s="28">
        <f>PROGRAMADO!D73/'Anexo '!$B$23</f>
        <v>0</v>
      </c>
      <c r="E73" s="28">
        <f>PROGRAMADO!E73/'Anexo '!$B$23</f>
        <v>0</v>
      </c>
      <c r="F73" s="28">
        <f>PROGRAMADO!F73/'Anexo '!$B$23</f>
        <v>0</v>
      </c>
      <c r="G73" s="28">
        <f>PROGRAMADO!G73/'Anexo '!$B$23</f>
        <v>0</v>
      </c>
      <c r="H73" s="28">
        <f>PROGRAMADO!H73/'Anexo '!$B$23</f>
        <v>0</v>
      </c>
      <c r="I73" s="28">
        <f>PROGRAMADO!I73/'Anexo '!$C$23</f>
        <v>0</v>
      </c>
      <c r="J73" s="28">
        <f>PROGRAMADO!J73/'Anexo '!$C$23</f>
        <v>0</v>
      </c>
      <c r="K73" s="28">
        <f>PROGRAMADO!K73/'Anexo '!$C$23</f>
        <v>0</v>
      </c>
      <c r="L73" s="28">
        <f>PROGRAMADO!L73/'Anexo '!$C$23</f>
        <v>0</v>
      </c>
      <c r="M73" s="28">
        <f>PROGRAMADO!M73/'Anexo '!$C$23</f>
        <v>0</v>
      </c>
      <c r="N73" s="28">
        <f>PROGRAMADO!N73/'Anexo '!$C$23</f>
        <v>0</v>
      </c>
      <c r="O73" s="28">
        <f>PROGRAMADO!O73/'Anexo '!$C$23</f>
        <v>0</v>
      </c>
      <c r="P73" s="28">
        <f>PROGRAMADO!P73/'Anexo '!$D$23</f>
        <v>0</v>
      </c>
      <c r="Q73" s="28">
        <f>PROGRAMADO!Q73/'Anexo '!$D$23</f>
        <v>0</v>
      </c>
      <c r="R73" s="28">
        <f>PROGRAMADO!R73/'Anexo '!$D$23</f>
        <v>0</v>
      </c>
      <c r="S73" s="28">
        <f>PROGRAMADO!S73/'Anexo '!$D$23</f>
        <v>0</v>
      </c>
      <c r="T73" s="28">
        <f>PROGRAMADO!T73/'Anexo '!$D$23</f>
        <v>0</v>
      </c>
      <c r="U73" s="28">
        <f>PROGRAMADO!U73/'Anexo '!$D$23</f>
        <v>0</v>
      </c>
      <c r="V73" s="28">
        <f>PROGRAMADO!V73/'Anexo '!$D$23</f>
        <v>0</v>
      </c>
      <c r="W73" s="28">
        <f>PROGRAMADO!W73/'Anexo '!$E$23</f>
        <v>0</v>
      </c>
      <c r="X73" s="28">
        <f>PROGRAMADO!X73/'Anexo '!$E$23</f>
        <v>0</v>
      </c>
      <c r="Y73" s="28">
        <f>PROGRAMADO!Y73/'Anexo '!$E$23</f>
        <v>0</v>
      </c>
      <c r="Z73" s="28">
        <f>PROGRAMADO!Z73/'Anexo '!$E$23</f>
        <v>0</v>
      </c>
      <c r="AA73" s="28">
        <f>PROGRAMADO!AA73/'Anexo '!$E$23</f>
        <v>0</v>
      </c>
      <c r="AB73" s="28">
        <f>PROGRAMADO!AB73/'Anexo '!$E$23</f>
        <v>0</v>
      </c>
      <c r="AC73" s="28">
        <f>PROGRAMADO!AC73/'Anexo '!$E$23</f>
        <v>0</v>
      </c>
      <c r="AD73" s="28">
        <f>PROGRAMADO!AD73/'Anexo '!$F$23</f>
        <v>0</v>
      </c>
      <c r="AE73" s="28">
        <f>PROGRAMADO!AE73/'Anexo '!$F$23</f>
        <v>0</v>
      </c>
      <c r="AF73" s="28">
        <f>PROGRAMADO!AF73/'Anexo '!$F$23</f>
        <v>0</v>
      </c>
      <c r="AG73" s="28">
        <f>PROGRAMADO!AG73/'Anexo '!$F$23</f>
        <v>0</v>
      </c>
      <c r="AH73" s="28">
        <f>PROGRAMADO!AH73/'Anexo '!$F$23</f>
        <v>0</v>
      </c>
      <c r="AI73" s="28">
        <f>PROGRAMADO!AI73/'Anexo '!$F$23</f>
        <v>0</v>
      </c>
      <c r="AJ73" s="28">
        <f>PROGRAMADO!AJ73/'Anexo '!$F$23</f>
        <v>0</v>
      </c>
      <c r="AK73" s="28">
        <f>PROGRAMADO!AK73/'Anexo '!$G$23</f>
        <v>0</v>
      </c>
      <c r="AL73" s="28">
        <f>PROGRAMADO!AL73/'Anexo '!$G$23</f>
        <v>0</v>
      </c>
      <c r="AM73" s="28">
        <f>PROGRAMADO!AM73/'Anexo '!$G$23</f>
        <v>0</v>
      </c>
      <c r="AN73" s="28">
        <f>PROGRAMADO!AN73/'Anexo '!$G$23</f>
        <v>0</v>
      </c>
      <c r="AO73" s="28">
        <f>PROGRAMADO!AO73/'Anexo '!$G$23</f>
        <v>0</v>
      </c>
      <c r="AP73" s="28">
        <f>PROGRAMADO!AP73/'Anexo '!$G$23</f>
        <v>0</v>
      </c>
      <c r="AQ73" s="28">
        <f>PROGRAMADO!AQ73/'Anexo '!$G$23</f>
        <v>0</v>
      </c>
      <c r="AR73" s="28">
        <f>PROGRAMADO!AR73/'Anexo '!$H$23</f>
        <v>0</v>
      </c>
      <c r="AS73" s="28">
        <f>PROGRAMADO!AS73/'Anexo '!$H$23</f>
        <v>0</v>
      </c>
      <c r="AT73" s="28">
        <f>PROGRAMADO!AT73/'Anexo '!$H$23</f>
        <v>0</v>
      </c>
      <c r="AU73" s="28">
        <f>PROGRAMADO!AU73/'Anexo '!$H$23</f>
        <v>0</v>
      </c>
      <c r="AV73" s="28">
        <f>PROGRAMADO!AV73/'Anexo '!$H$23</f>
        <v>0</v>
      </c>
      <c r="AW73" s="28">
        <f>PROGRAMADO!AW73/'Anexo '!$H$23</f>
        <v>0</v>
      </c>
      <c r="AX73" s="28">
        <f>PROGRAMADO!AX73/'Anexo '!$H$23</f>
        <v>0</v>
      </c>
      <c r="AY73" s="28">
        <f>PROGRAMADO!AY73/'Anexo '!$I$23</f>
        <v>0</v>
      </c>
      <c r="AZ73" s="28">
        <f>PROGRAMADO!AZ73/'Anexo '!$I$23</f>
        <v>0</v>
      </c>
      <c r="BA73" s="28">
        <f>PROGRAMADO!BA73/'Anexo '!$I$23</f>
        <v>0</v>
      </c>
      <c r="BB73" s="28">
        <f>PROGRAMADO!BB73/'Anexo '!$I$23</f>
        <v>0</v>
      </c>
      <c r="BC73" s="28">
        <f>PROGRAMADO!BC73/'Anexo '!$I$23</f>
        <v>0</v>
      </c>
      <c r="BD73" s="28">
        <f>PROGRAMADO!BD73/'Anexo '!$I$23</f>
        <v>0</v>
      </c>
      <c r="BE73" s="28">
        <f>PROGRAMADO!BE73/'Anexo '!$I$23</f>
        <v>0</v>
      </c>
      <c r="BF73" s="28">
        <f>PROGRAMADO!BF73/'Anexo '!$J$23</f>
        <v>0</v>
      </c>
      <c r="BG73" s="28">
        <f>PROGRAMADO!BG73/'Anexo '!$J$23</f>
        <v>0</v>
      </c>
      <c r="BH73" s="28">
        <f>PROGRAMADO!BH73/'Anexo '!$J$23</f>
        <v>0</v>
      </c>
      <c r="BI73" s="28">
        <f>PROGRAMADO!BI73/'Anexo '!$J$23</f>
        <v>0</v>
      </c>
      <c r="BJ73" s="28">
        <f>PROGRAMADO!BJ73/'Anexo '!$J$23</f>
        <v>0</v>
      </c>
      <c r="BK73" s="28">
        <f>PROGRAMADO!BK73/'Anexo '!$J$23</f>
        <v>0</v>
      </c>
      <c r="BL73" s="28">
        <f>PROGRAMADO!BL73/'Anexo '!$J$23</f>
        <v>0</v>
      </c>
      <c r="BM73" s="28">
        <f>PROGRAMADO!BM73/'Anexo '!$K$23</f>
        <v>0</v>
      </c>
      <c r="BN73" s="28">
        <f>PROGRAMADO!BN73/'Anexo '!$K$23</f>
        <v>575268.79322877422</v>
      </c>
      <c r="BO73" s="28">
        <f>PROGRAMADO!BO73/'Anexo '!$K$23</f>
        <v>575268.79322877422</v>
      </c>
      <c r="BP73" s="28">
        <f>PROGRAMADO!BP73/'Anexo '!$K$23</f>
        <v>0</v>
      </c>
      <c r="BQ73" s="28">
        <f>PROGRAMADO!BQ73/'Anexo '!$K$23</f>
        <v>0</v>
      </c>
      <c r="BR73" s="28">
        <f>PROGRAMADO!BR73/'Anexo '!$K$23</f>
        <v>0</v>
      </c>
      <c r="BS73" s="28">
        <f>PROGRAMADO!BS73/'Anexo '!$K$23</f>
        <v>575268.79322877422</v>
      </c>
      <c r="BT73" s="28">
        <f>PROGRAMADO!BT73/'Anexo '!$L$23</f>
        <v>0</v>
      </c>
      <c r="BU73" s="28">
        <f>PROGRAMADO!BU73/'Anexo '!$L$23</f>
        <v>0</v>
      </c>
      <c r="BV73" s="28">
        <f>PROGRAMADO!BV73/'Anexo '!$L$23</f>
        <v>0</v>
      </c>
      <c r="BW73" s="28">
        <f>PROGRAMADO!BW73/'Anexo '!$L$23</f>
        <v>0</v>
      </c>
      <c r="BX73" s="28">
        <f>PROGRAMADO!BX73/'Anexo '!$L$23</f>
        <v>0</v>
      </c>
      <c r="BY73" s="28">
        <f>PROGRAMADO!BY73/'Anexo '!$L$23</f>
        <v>0</v>
      </c>
      <c r="BZ73" s="28">
        <f>PROGRAMADO!BZ73/'Anexo '!$L$23</f>
        <v>0</v>
      </c>
      <c r="CA73" s="28">
        <f>PROGRAMADO!CA73/'Anexo '!$L$23</f>
        <v>0</v>
      </c>
      <c r="CB73" s="28">
        <f>PROGRAMADO!CB73/'Anexo '!$M$23</f>
        <v>0</v>
      </c>
      <c r="CC73" s="28">
        <f>PROGRAMADO!CC73/'Anexo '!$M$23</f>
        <v>0</v>
      </c>
      <c r="CD73" s="28">
        <f>PROGRAMADO!CD73/'Anexo '!$M$23</f>
        <v>0</v>
      </c>
      <c r="CE73" s="28">
        <f>PROGRAMADO!CE73/'Anexo '!$M$23</f>
        <v>0</v>
      </c>
      <c r="CF73" s="28">
        <f>PROGRAMADO!CF73/'Anexo '!$M$23</f>
        <v>0</v>
      </c>
      <c r="CG73" s="28">
        <f>PROGRAMADO!CG73/'Anexo '!$M$23</f>
        <v>0</v>
      </c>
      <c r="CH73" s="28">
        <f>PROGRAMADO!CH73/'Anexo '!$M$23</f>
        <v>0</v>
      </c>
      <c r="CI73" s="29">
        <f>PROGRAMADO!CI73/'Anexo '!$M$23</f>
        <v>0</v>
      </c>
    </row>
    <row r="74" spans="1:87" x14ac:dyDescent="0.25">
      <c r="A74" s="15" t="s">
        <v>115</v>
      </c>
      <c r="B74" s="27">
        <f>PROGRAMADO!B74/'Anexo '!$B$23</f>
        <v>0</v>
      </c>
      <c r="C74" s="28">
        <f>PROGRAMADO!C74/'Anexo '!$B$23</f>
        <v>0</v>
      </c>
      <c r="D74" s="28">
        <f>PROGRAMADO!D74/'Anexo '!$B$23</f>
        <v>0</v>
      </c>
      <c r="E74" s="28">
        <f>PROGRAMADO!E74/'Anexo '!$B$23</f>
        <v>0</v>
      </c>
      <c r="F74" s="28">
        <f>PROGRAMADO!F74/'Anexo '!$B$23</f>
        <v>0</v>
      </c>
      <c r="G74" s="28">
        <f>PROGRAMADO!G74/'Anexo '!$B$23</f>
        <v>0</v>
      </c>
      <c r="H74" s="28">
        <f>PROGRAMADO!H74/'Anexo '!$B$23</f>
        <v>0</v>
      </c>
      <c r="I74" s="28">
        <f>PROGRAMADO!I74/'Anexo '!$C$23</f>
        <v>0</v>
      </c>
      <c r="J74" s="28">
        <f>PROGRAMADO!J74/'Anexo '!$C$23</f>
        <v>0</v>
      </c>
      <c r="K74" s="28">
        <f>PROGRAMADO!K74/'Anexo '!$C$23</f>
        <v>0</v>
      </c>
      <c r="L74" s="28">
        <f>PROGRAMADO!L74/'Anexo '!$C$23</f>
        <v>0</v>
      </c>
      <c r="M74" s="28">
        <f>PROGRAMADO!M74/'Anexo '!$C$23</f>
        <v>0</v>
      </c>
      <c r="N74" s="28">
        <f>PROGRAMADO!N74/'Anexo '!$C$23</f>
        <v>0</v>
      </c>
      <c r="O74" s="28">
        <f>PROGRAMADO!O74/'Anexo '!$C$23</f>
        <v>0</v>
      </c>
      <c r="P74" s="28">
        <f>PROGRAMADO!P74/'Anexo '!$D$23</f>
        <v>0</v>
      </c>
      <c r="Q74" s="28">
        <f>PROGRAMADO!Q74/'Anexo '!$D$23</f>
        <v>0</v>
      </c>
      <c r="R74" s="28">
        <f>PROGRAMADO!R74/'Anexo '!$D$23</f>
        <v>0</v>
      </c>
      <c r="S74" s="28">
        <f>PROGRAMADO!S74/'Anexo '!$D$23</f>
        <v>0</v>
      </c>
      <c r="T74" s="28">
        <f>PROGRAMADO!T74/'Anexo '!$D$23</f>
        <v>0</v>
      </c>
      <c r="U74" s="28">
        <f>PROGRAMADO!U74/'Anexo '!$D$23</f>
        <v>0</v>
      </c>
      <c r="V74" s="28">
        <f>PROGRAMADO!V74/'Anexo '!$D$23</f>
        <v>0</v>
      </c>
      <c r="W74" s="28">
        <f>PROGRAMADO!W74/'Anexo '!$E$23</f>
        <v>0</v>
      </c>
      <c r="X74" s="28">
        <f>PROGRAMADO!X74/'Anexo '!$E$23</f>
        <v>0</v>
      </c>
      <c r="Y74" s="28">
        <f>PROGRAMADO!Y74/'Anexo '!$E$23</f>
        <v>0</v>
      </c>
      <c r="Z74" s="28">
        <f>PROGRAMADO!Z74/'Anexo '!$E$23</f>
        <v>0</v>
      </c>
      <c r="AA74" s="28">
        <f>PROGRAMADO!AA74/'Anexo '!$E$23</f>
        <v>0</v>
      </c>
      <c r="AB74" s="28">
        <f>PROGRAMADO!AB74/'Anexo '!$E$23</f>
        <v>0</v>
      </c>
      <c r="AC74" s="28">
        <f>PROGRAMADO!AC74/'Anexo '!$E$23</f>
        <v>0</v>
      </c>
      <c r="AD74" s="28">
        <f>PROGRAMADO!AD74/'Anexo '!$F$23</f>
        <v>0</v>
      </c>
      <c r="AE74" s="28">
        <f>PROGRAMADO!AE74/'Anexo '!$F$23</f>
        <v>0</v>
      </c>
      <c r="AF74" s="28">
        <f>PROGRAMADO!AF74/'Anexo '!$F$23</f>
        <v>0</v>
      </c>
      <c r="AG74" s="28">
        <f>PROGRAMADO!AG74/'Anexo '!$F$23</f>
        <v>0</v>
      </c>
      <c r="AH74" s="28">
        <f>PROGRAMADO!AH74/'Anexo '!$F$23</f>
        <v>0</v>
      </c>
      <c r="AI74" s="28">
        <f>PROGRAMADO!AI74/'Anexo '!$F$23</f>
        <v>0</v>
      </c>
      <c r="AJ74" s="28">
        <f>PROGRAMADO!AJ74/'Anexo '!$F$23</f>
        <v>0</v>
      </c>
      <c r="AK74" s="28">
        <f>PROGRAMADO!AK74/'Anexo '!$G$23</f>
        <v>0</v>
      </c>
      <c r="AL74" s="28">
        <f>PROGRAMADO!AL74/'Anexo '!$G$23</f>
        <v>0</v>
      </c>
      <c r="AM74" s="28">
        <f>PROGRAMADO!AM74/'Anexo '!$G$23</f>
        <v>0</v>
      </c>
      <c r="AN74" s="28">
        <f>PROGRAMADO!AN74/'Anexo '!$G$23</f>
        <v>0</v>
      </c>
      <c r="AO74" s="28">
        <f>PROGRAMADO!AO74/'Anexo '!$G$23</f>
        <v>0</v>
      </c>
      <c r="AP74" s="28">
        <f>PROGRAMADO!AP74/'Anexo '!$G$23</f>
        <v>0</v>
      </c>
      <c r="AQ74" s="28">
        <f>PROGRAMADO!AQ74/'Anexo '!$G$23</f>
        <v>0</v>
      </c>
      <c r="AR74" s="28">
        <f>PROGRAMADO!AR74/'Anexo '!$H$23</f>
        <v>0</v>
      </c>
      <c r="AS74" s="28">
        <f>PROGRAMADO!AS74/'Anexo '!$H$23</f>
        <v>0</v>
      </c>
      <c r="AT74" s="28">
        <f>PROGRAMADO!AT74/'Anexo '!$H$23</f>
        <v>0</v>
      </c>
      <c r="AU74" s="28">
        <f>PROGRAMADO!AU74/'Anexo '!$H$23</f>
        <v>0</v>
      </c>
      <c r="AV74" s="28">
        <f>PROGRAMADO!AV74/'Anexo '!$H$23</f>
        <v>0</v>
      </c>
      <c r="AW74" s="28">
        <f>PROGRAMADO!AW74/'Anexo '!$H$23</f>
        <v>0</v>
      </c>
      <c r="AX74" s="28">
        <f>PROGRAMADO!AX74/'Anexo '!$H$23</f>
        <v>0</v>
      </c>
      <c r="AY74" s="28">
        <f>PROGRAMADO!AY74/'Anexo '!$I$23</f>
        <v>0</v>
      </c>
      <c r="AZ74" s="28">
        <f>PROGRAMADO!AZ74/'Anexo '!$I$23</f>
        <v>0</v>
      </c>
      <c r="BA74" s="28">
        <f>PROGRAMADO!BA74/'Anexo '!$I$23</f>
        <v>0</v>
      </c>
      <c r="BB74" s="28">
        <f>PROGRAMADO!BB74/'Anexo '!$I$23</f>
        <v>0</v>
      </c>
      <c r="BC74" s="28">
        <f>PROGRAMADO!BC74/'Anexo '!$I$23</f>
        <v>0</v>
      </c>
      <c r="BD74" s="28">
        <f>PROGRAMADO!BD74/'Anexo '!$I$23</f>
        <v>0</v>
      </c>
      <c r="BE74" s="28">
        <f>PROGRAMADO!BE74/'Anexo '!$I$23</f>
        <v>0</v>
      </c>
      <c r="BF74" s="28">
        <f>PROGRAMADO!BF74/'Anexo '!$J$23</f>
        <v>0</v>
      </c>
      <c r="BG74" s="28">
        <f>PROGRAMADO!BG74/'Anexo '!$J$23</f>
        <v>0</v>
      </c>
      <c r="BH74" s="28">
        <f>PROGRAMADO!BH74/'Anexo '!$J$23</f>
        <v>0</v>
      </c>
      <c r="BI74" s="28">
        <f>PROGRAMADO!BI74/'Anexo '!$J$23</f>
        <v>0</v>
      </c>
      <c r="BJ74" s="28">
        <f>PROGRAMADO!BJ74/'Anexo '!$J$23</f>
        <v>0</v>
      </c>
      <c r="BK74" s="28">
        <f>PROGRAMADO!BK74/'Anexo '!$J$23</f>
        <v>0</v>
      </c>
      <c r="BL74" s="28">
        <f>PROGRAMADO!BL74/'Anexo '!$J$23</f>
        <v>0</v>
      </c>
      <c r="BM74" s="28">
        <f>PROGRAMADO!BM74/'Anexo '!$K$23</f>
        <v>0</v>
      </c>
      <c r="BN74" s="28">
        <f>PROGRAMADO!BN74/'Anexo '!$K$23</f>
        <v>891889.60190507618</v>
      </c>
      <c r="BO74" s="28">
        <f>PROGRAMADO!BO74/'Anexo '!$K$23</f>
        <v>891889.60190507618</v>
      </c>
      <c r="BP74" s="28">
        <f>PROGRAMADO!BP74/'Anexo '!$K$23</f>
        <v>0</v>
      </c>
      <c r="BQ74" s="28">
        <f>PROGRAMADO!BQ74/'Anexo '!$K$23</f>
        <v>0</v>
      </c>
      <c r="BR74" s="28">
        <f>PROGRAMADO!BR74/'Anexo '!$K$23</f>
        <v>0</v>
      </c>
      <c r="BS74" s="28">
        <f>PROGRAMADO!BS74/'Anexo '!$K$23</f>
        <v>891889.60190507618</v>
      </c>
      <c r="BT74" s="28">
        <f>PROGRAMADO!BT74/'Anexo '!$L$23</f>
        <v>0</v>
      </c>
      <c r="BU74" s="28">
        <f>PROGRAMADO!BU74/'Anexo '!$L$23</f>
        <v>0</v>
      </c>
      <c r="BV74" s="28">
        <f>PROGRAMADO!BV74/'Anexo '!$L$23</f>
        <v>0</v>
      </c>
      <c r="BW74" s="28">
        <f>PROGRAMADO!BW74/'Anexo '!$L$23</f>
        <v>0</v>
      </c>
      <c r="BX74" s="28">
        <f>PROGRAMADO!BX74/'Anexo '!$L$23</f>
        <v>0</v>
      </c>
      <c r="BY74" s="28">
        <f>PROGRAMADO!BY74/'Anexo '!$L$23</f>
        <v>0</v>
      </c>
      <c r="BZ74" s="28">
        <f>PROGRAMADO!BZ74/'Anexo '!$L$23</f>
        <v>0</v>
      </c>
      <c r="CA74" s="28">
        <f>PROGRAMADO!CA74/'Anexo '!$L$23</f>
        <v>0</v>
      </c>
      <c r="CB74" s="28">
        <f>PROGRAMADO!CB74/'Anexo '!$M$23</f>
        <v>0</v>
      </c>
      <c r="CC74" s="28">
        <f>PROGRAMADO!CC74/'Anexo '!$M$23</f>
        <v>0</v>
      </c>
      <c r="CD74" s="28">
        <f>PROGRAMADO!CD74/'Anexo '!$M$23</f>
        <v>0</v>
      </c>
      <c r="CE74" s="28">
        <f>PROGRAMADO!CE74/'Anexo '!$M$23</f>
        <v>0</v>
      </c>
      <c r="CF74" s="28">
        <f>PROGRAMADO!CF74/'Anexo '!$M$23</f>
        <v>0</v>
      </c>
      <c r="CG74" s="28">
        <f>PROGRAMADO!CG74/'Anexo '!$M$23</f>
        <v>0</v>
      </c>
      <c r="CH74" s="28">
        <f>PROGRAMADO!CH74/'Anexo '!$M$23</f>
        <v>0</v>
      </c>
      <c r="CI74" s="29">
        <f>PROGRAMADO!CI74/'Anexo '!$M$23</f>
        <v>0</v>
      </c>
    </row>
    <row r="75" spans="1:87" x14ac:dyDescent="0.25">
      <c r="A75" s="15" t="s">
        <v>116</v>
      </c>
      <c r="B75" s="27">
        <f>PROGRAMADO!B75/'Anexo '!$B$23</f>
        <v>0</v>
      </c>
      <c r="C75" s="28">
        <f>PROGRAMADO!C75/'Anexo '!$B$23</f>
        <v>0</v>
      </c>
      <c r="D75" s="28">
        <f>PROGRAMADO!D75/'Anexo '!$B$23</f>
        <v>0</v>
      </c>
      <c r="E75" s="28">
        <f>PROGRAMADO!E75/'Anexo '!$B$23</f>
        <v>0</v>
      </c>
      <c r="F75" s="28">
        <f>PROGRAMADO!F75/'Anexo '!$B$23</f>
        <v>0</v>
      </c>
      <c r="G75" s="28">
        <f>PROGRAMADO!G75/'Anexo '!$B$23</f>
        <v>0</v>
      </c>
      <c r="H75" s="28">
        <f>PROGRAMADO!H75/'Anexo '!$B$23</f>
        <v>0</v>
      </c>
      <c r="I75" s="28">
        <f>PROGRAMADO!I75/'Anexo '!$C$23</f>
        <v>0</v>
      </c>
      <c r="J75" s="28">
        <f>PROGRAMADO!J75/'Anexo '!$C$23</f>
        <v>0</v>
      </c>
      <c r="K75" s="28">
        <f>PROGRAMADO!K75/'Anexo '!$C$23</f>
        <v>0</v>
      </c>
      <c r="L75" s="28">
        <f>PROGRAMADO!L75/'Anexo '!$C$23</f>
        <v>0</v>
      </c>
      <c r="M75" s="28">
        <f>PROGRAMADO!M75/'Anexo '!$C$23</f>
        <v>0</v>
      </c>
      <c r="N75" s="28">
        <f>PROGRAMADO!N75/'Anexo '!$C$23</f>
        <v>0</v>
      </c>
      <c r="O75" s="28">
        <f>PROGRAMADO!O75/'Anexo '!$C$23</f>
        <v>0</v>
      </c>
      <c r="P75" s="28">
        <f>PROGRAMADO!P75/'Anexo '!$D$23</f>
        <v>0</v>
      </c>
      <c r="Q75" s="28">
        <f>PROGRAMADO!Q75/'Anexo '!$D$23</f>
        <v>0</v>
      </c>
      <c r="R75" s="28">
        <f>PROGRAMADO!R75/'Anexo '!$D$23</f>
        <v>0</v>
      </c>
      <c r="S75" s="28">
        <f>PROGRAMADO!S75/'Anexo '!$D$23</f>
        <v>0</v>
      </c>
      <c r="T75" s="28">
        <f>PROGRAMADO!T75/'Anexo '!$D$23</f>
        <v>0</v>
      </c>
      <c r="U75" s="28">
        <f>PROGRAMADO!U75/'Anexo '!$D$23</f>
        <v>0</v>
      </c>
      <c r="V75" s="28">
        <f>PROGRAMADO!V75/'Anexo '!$D$23</f>
        <v>0</v>
      </c>
      <c r="W75" s="28">
        <f>PROGRAMADO!W75/'Anexo '!$E$23</f>
        <v>0</v>
      </c>
      <c r="X75" s="28">
        <f>PROGRAMADO!X75/'Anexo '!$E$23</f>
        <v>0</v>
      </c>
      <c r="Y75" s="28">
        <f>PROGRAMADO!Y75/'Anexo '!$E$23</f>
        <v>0</v>
      </c>
      <c r="Z75" s="28">
        <f>PROGRAMADO!Z75/'Anexo '!$E$23</f>
        <v>0</v>
      </c>
      <c r="AA75" s="28">
        <f>PROGRAMADO!AA75/'Anexo '!$E$23</f>
        <v>0</v>
      </c>
      <c r="AB75" s="28">
        <f>PROGRAMADO!AB75/'Anexo '!$E$23</f>
        <v>0</v>
      </c>
      <c r="AC75" s="28">
        <f>PROGRAMADO!AC75/'Anexo '!$E$23</f>
        <v>0</v>
      </c>
      <c r="AD75" s="28">
        <f>PROGRAMADO!AD75/'Anexo '!$F$23</f>
        <v>0</v>
      </c>
      <c r="AE75" s="28">
        <f>PROGRAMADO!AE75/'Anexo '!$F$23</f>
        <v>0</v>
      </c>
      <c r="AF75" s="28">
        <f>PROGRAMADO!AF75/'Anexo '!$F$23</f>
        <v>0</v>
      </c>
      <c r="AG75" s="28">
        <f>PROGRAMADO!AG75/'Anexo '!$F$23</f>
        <v>0</v>
      </c>
      <c r="AH75" s="28">
        <f>PROGRAMADO!AH75/'Anexo '!$F$23</f>
        <v>0</v>
      </c>
      <c r="AI75" s="28">
        <f>PROGRAMADO!AI75/'Anexo '!$F$23</f>
        <v>0</v>
      </c>
      <c r="AJ75" s="28">
        <f>PROGRAMADO!AJ75/'Anexo '!$F$23</f>
        <v>0</v>
      </c>
      <c r="AK75" s="28">
        <f>PROGRAMADO!AK75/'Anexo '!$G$23</f>
        <v>0</v>
      </c>
      <c r="AL75" s="28">
        <f>PROGRAMADO!AL75/'Anexo '!$G$23</f>
        <v>0</v>
      </c>
      <c r="AM75" s="28">
        <f>PROGRAMADO!AM75/'Anexo '!$G$23</f>
        <v>0</v>
      </c>
      <c r="AN75" s="28">
        <f>PROGRAMADO!AN75/'Anexo '!$G$23</f>
        <v>0</v>
      </c>
      <c r="AO75" s="28">
        <f>PROGRAMADO!AO75/'Anexo '!$G$23</f>
        <v>0</v>
      </c>
      <c r="AP75" s="28">
        <f>PROGRAMADO!AP75/'Anexo '!$G$23</f>
        <v>0</v>
      </c>
      <c r="AQ75" s="28">
        <f>PROGRAMADO!AQ75/'Anexo '!$G$23</f>
        <v>0</v>
      </c>
      <c r="AR75" s="28">
        <f>PROGRAMADO!AR75/'Anexo '!$H$23</f>
        <v>0</v>
      </c>
      <c r="AS75" s="28">
        <f>PROGRAMADO!AS75/'Anexo '!$H$23</f>
        <v>0</v>
      </c>
      <c r="AT75" s="28">
        <f>PROGRAMADO!AT75/'Anexo '!$H$23</f>
        <v>0</v>
      </c>
      <c r="AU75" s="28">
        <f>PROGRAMADO!AU75/'Anexo '!$H$23</f>
        <v>0</v>
      </c>
      <c r="AV75" s="28">
        <f>PROGRAMADO!AV75/'Anexo '!$H$23</f>
        <v>0</v>
      </c>
      <c r="AW75" s="28">
        <f>PROGRAMADO!AW75/'Anexo '!$H$23</f>
        <v>0</v>
      </c>
      <c r="AX75" s="28">
        <f>PROGRAMADO!AX75/'Anexo '!$H$23</f>
        <v>0</v>
      </c>
      <c r="AY75" s="28">
        <f>PROGRAMADO!AY75/'Anexo '!$I$23</f>
        <v>0</v>
      </c>
      <c r="AZ75" s="28">
        <f>PROGRAMADO!AZ75/'Anexo '!$I$23</f>
        <v>0</v>
      </c>
      <c r="BA75" s="28">
        <f>PROGRAMADO!BA75/'Anexo '!$I$23</f>
        <v>0</v>
      </c>
      <c r="BB75" s="28">
        <f>PROGRAMADO!BB75/'Anexo '!$I$23</f>
        <v>0</v>
      </c>
      <c r="BC75" s="28">
        <f>PROGRAMADO!BC75/'Anexo '!$I$23</f>
        <v>0</v>
      </c>
      <c r="BD75" s="28">
        <f>PROGRAMADO!BD75/'Anexo '!$I$23</f>
        <v>0</v>
      </c>
      <c r="BE75" s="28">
        <f>PROGRAMADO!BE75/'Anexo '!$I$23</f>
        <v>0</v>
      </c>
      <c r="BF75" s="28">
        <f>PROGRAMADO!BF75/'Anexo '!$J$23</f>
        <v>0</v>
      </c>
      <c r="BG75" s="28">
        <f>PROGRAMADO!BG75/'Anexo '!$J$23</f>
        <v>0</v>
      </c>
      <c r="BH75" s="28">
        <f>PROGRAMADO!BH75/'Anexo '!$J$23</f>
        <v>0</v>
      </c>
      <c r="BI75" s="28">
        <f>PROGRAMADO!BI75/'Anexo '!$J$23</f>
        <v>0</v>
      </c>
      <c r="BJ75" s="28">
        <f>PROGRAMADO!BJ75/'Anexo '!$J$23</f>
        <v>0</v>
      </c>
      <c r="BK75" s="28">
        <f>PROGRAMADO!BK75/'Anexo '!$J$23</f>
        <v>0</v>
      </c>
      <c r="BL75" s="28">
        <f>PROGRAMADO!BL75/'Anexo '!$J$23</f>
        <v>0</v>
      </c>
      <c r="BM75" s="28">
        <f>PROGRAMADO!BM75/'Anexo '!$K$23</f>
        <v>0</v>
      </c>
      <c r="BN75" s="28">
        <f>PROGRAMADO!BN75/'Anexo '!$K$23</f>
        <v>491431.17064969701</v>
      </c>
      <c r="BO75" s="28">
        <f>PROGRAMADO!BO75/'Anexo '!$K$23</f>
        <v>491431.17064969701</v>
      </c>
      <c r="BP75" s="28">
        <f>PROGRAMADO!BP75/'Anexo '!$K$23</f>
        <v>0</v>
      </c>
      <c r="BQ75" s="28">
        <f>PROGRAMADO!BQ75/'Anexo '!$K$23</f>
        <v>0</v>
      </c>
      <c r="BR75" s="28">
        <f>PROGRAMADO!BR75/'Anexo '!$K$23</f>
        <v>0</v>
      </c>
      <c r="BS75" s="28">
        <f>PROGRAMADO!BS75/'Anexo '!$K$23</f>
        <v>491431.17064969701</v>
      </c>
      <c r="BT75" s="28">
        <f>PROGRAMADO!BT75/'Anexo '!$L$23</f>
        <v>0</v>
      </c>
      <c r="BU75" s="28">
        <f>PROGRAMADO!BU75/'Anexo '!$L$23</f>
        <v>0</v>
      </c>
      <c r="BV75" s="28">
        <f>PROGRAMADO!BV75/'Anexo '!$L$23</f>
        <v>0</v>
      </c>
      <c r="BW75" s="28">
        <f>PROGRAMADO!BW75/'Anexo '!$L$23</f>
        <v>0</v>
      </c>
      <c r="BX75" s="28">
        <f>PROGRAMADO!BX75/'Anexo '!$L$23</f>
        <v>0</v>
      </c>
      <c r="BY75" s="28">
        <f>PROGRAMADO!BY75/'Anexo '!$L$23</f>
        <v>0</v>
      </c>
      <c r="BZ75" s="28">
        <f>PROGRAMADO!BZ75/'Anexo '!$L$23</f>
        <v>0</v>
      </c>
      <c r="CA75" s="28">
        <f>PROGRAMADO!CA75/'Anexo '!$L$23</f>
        <v>0</v>
      </c>
      <c r="CB75" s="28">
        <f>PROGRAMADO!CB75/'Anexo '!$M$23</f>
        <v>0</v>
      </c>
      <c r="CC75" s="28">
        <f>PROGRAMADO!CC75/'Anexo '!$M$23</f>
        <v>0</v>
      </c>
      <c r="CD75" s="28">
        <f>PROGRAMADO!CD75/'Anexo '!$M$23</f>
        <v>0</v>
      </c>
      <c r="CE75" s="28">
        <f>PROGRAMADO!CE75/'Anexo '!$M$23</f>
        <v>0</v>
      </c>
      <c r="CF75" s="28">
        <f>PROGRAMADO!CF75/'Anexo '!$M$23</f>
        <v>0</v>
      </c>
      <c r="CG75" s="28">
        <f>PROGRAMADO!CG75/'Anexo '!$M$23</f>
        <v>0</v>
      </c>
      <c r="CH75" s="28">
        <f>PROGRAMADO!CH75/'Anexo '!$M$23</f>
        <v>0</v>
      </c>
      <c r="CI75" s="29">
        <f>PROGRAMADO!CI75/'Anexo '!$M$23</f>
        <v>0</v>
      </c>
    </row>
    <row r="76" spans="1:87" x14ac:dyDescent="0.25">
      <c r="A76" s="15" t="s">
        <v>117</v>
      </c>
      <c r="B76" s="27">
        <f>PROGRAMADO!B76/'Anexo '!$B$23</f>
        <v>0</v>
      </c>
      <c r="C76" s="28">
        <f>PROGRAMADO!C76/'Anexo '!$B$23</f>
        <v>0</v>
      </c>
      <c r="D76" s="28">
        <f>PROGRAMADO!D76/'Anexo '!$B$23</f>
        <v>0</v>
      </c>
      <c r="E76" s="28">
        <f>PROGRAMADO!E76/'Anexo '!$B$23</f>
        <v>0</v>
      </c>
      <c r="F76" s="28">
        <f>PROGRAMADO!F76/'Anexo '!$B$23</f>
        <v>0</v>
      </c>
      <c r="G76" s="28">
        <f>PROGRAMADO!G76/'Anexo '!$B$23</f>
        <v>0</v>
      </c>
      <c r="H76" s="28">
        <f>PROGRAMADO!H76/'Anexo '!$B$23</f>
        <v>0</v>
      </c>
      <c r="I76" s="28">
        <f>PROGRAMADO!I76/'Anexo '!$C$23</f>
        <v>0</v>
      </c>
      <c r="J76" s="28">
        <f>PROGRAMADO!J76/'Anexo '!$C$23</f>
        <v>0</v>
      </c>
      <c r="K76" s="28">
        <f>PROGRAMADO!K76/'Anexo '!$C$23</f>
        <v>0</v>
      </c>
      <c r="L76" s="28">
        <f>PROGRAMADO!L76/'Anexo '!$C$23</f>
        <v>0</v>
      </c>
      <c r="M76" s="28">
        <f>PROGRAMADO!M76/'Anexo '!$C$23</f>
        <v>0</v>
      </c>
      <c r="N76" s="28">
        <f>PROGRAMADO!N76/'Anexo '!$C$23</f>
        <v>0</v>
      </c>
      <c r="O76" s="28">
        <f>PROGRAMADO!O76/'Anexo '!$C$23</f>
        <v>0</v>
      </c>
      <c r="P76" s="28">
        <f>PROGRAMADO!P76/'Anexo '!$D$23</f>
        <v>0</v>
      </c>
      <c r="Q76" s="28">
        <f>PROGRAMADO!Q76/'Anexo '!$D$23</f>
        <v>0</v>
      </c>
      <c r="R76" s="28">
        <f>PROGRAMADO!R76/'Anexo '!$D$23</f>
        <v>0</v>
      </c>
      <c r="S76" s="28">
        <f>PROGRAMADO!S76/'Anexo '!$D$23</f>
        <v>0</v>
      </c>
      <c r="T76" s="28">
        <f>PROGRAMADO!T76/'Anexo '!$D$23</f>
        <v>0</v>
      </c>
      <c r="U76" s="28">
        <f>PROGRAMADO!U76/'Anexo '!$D$23</f>
        <v>0</v>
      </c>
      <c r="V76" s="28">
        <f>PROGRAMADO!V76/'Anexo '!$D$23</f>
        <v>0</v>
      </c>
      <c r="W76" s="28">
        <f>PROGRAMADO!W76/'Anexo '!$E$23</f>
        <v>0</v>
      </c>
      <c r="X76" s="28">
        <f>PROGRAMADO!X76/'Anexo '!$E$23</f>
        <v>0</v>
      </c>
      <c r="Y76" s="28">
        <f>PROGRAMADO!Y76/'Anexo '!$E$23</f>
        <v>0</v>
      </c>
      <c r="Z76" s="28">
        <f>PROGRAMADO!Z76/'Anexo '!$E$23</f>
        <v>0</v>
      </c>
      <c r="AA76" s="28">
        <f>PROGRAMADO!AA76/'Anexo '!$E$23</f>
        <v>0</v>
      </c>
      <c r="AB76" s="28">
        <f>PROGRAMADO!AB76/'Anexo '!$E$23</f>
        <v>0</v>
      </c>
      <c r="AC76" s="28">
        <f>PROGRAMADO!AC76/'Anexo '!$E$23</f>
        <v>0</v>
      </c>
      <c r="AD76" s="28">
        <f>PROGRAMADO!AD76/'Anexo '!$F$23</f>
        <v>0</v>
      </c>
      <c r="AE76" s="28">
        <f>PROGRAMADO!AE76/'Anexo '!$F$23</f>
        <v>0</v>
      </c>
      <c r="AF76" s="28">
        <f>PROGRAMADO!AF76/'Anexo '!$F$23</f>
        <v>0</v>
      </c>
      <c r="AG76" s="28">
        <f>PROGRAMADO!AG76/'Anexo '!$F$23</f>
        <v>0</v>
      </c>
      <c r="AH76" s="28">
        <f>PROGRAMADO!AH76/'Anexo '!$F$23</f>
        <v>0</v>
      </c>
      <c r="AI76" s="28">
        <f>PROGRAMADO!AI76/'Anexo '!$F$23</f>
        <v>0</v>
      </c>
      <c r="AJ76" s="28">
        <f>PROGRAMADO!AJ76/'Anexo '!$F$23</f>
        <v>0</v>
      </c>
      <c r="AK76" s="28">
        <f>PROGRAMADO!AK76/'Anexo '!$G$23</f>
        <v>0</v>
      </c>
      <c r="AL76" s="28">
        <f>PROGRAMADO!AL76/'Anexo '!$G$23</f>
        <v>0</v>
      </c>
      <c r="AM76" s="28">
        <f>PROGRAMADO!AM76/'Anexo '!$G$23</f>
        <v>0</v>
      </c>
      <c r="AN76" s="28">
        <f>PROGRAMADO!AN76/'Anexo '!$G$23</f>
        <v>0</v>
      </c>
      <c r="AO76" s="28">
        <f>PROGRAMADO!AO76/'Anexo '!$G$23</f>
        <v>0</v>
      </c>
      <c r="AP76" s="28">
        <f>PROGRAMADO!AP76/'Anexo '!$G$23</f>
        <v>0</v>
      </c>
      <c r="AQ76" s="28">
        <f>PROGRAMADO!AQ76/'Anexo '!$G$23</f>
        <v>0</v>
      </c>
      <c r="AR76" s="28">
        <f>PROGRAMADO!AR76/'Anexo '!$H$23</f>
        <v>0</v>
      </c>
      <c r="AS76" s="28">
        <f>PROGRAMADO!AS76/'Anexo '!$H$23</f>
        <v>0</v>
      </c>
      <c r="AT76" s="28">
        <f>PROGRAMADO!AT76/'Anexo '!$H$23</f>
        <v>0</v>
      </c>
      <c r="AU76" s="28">
        <f>PROGRAMADO!AU76/'Anexo '!$H$23</f>
        <v>0</v>
      </c>
      <c r="AV76" s="28">
        <f>PROGRAMADO!AV76/'Anexo '!$H$23</f>
        <v>0</v>
      </c>
      <c r="AW76" s="28">
        <f>PROGRAMADO!AW76/'Anexo '!$H$23</f>
        <v>0</v>
      </c>
      <c r="AX76" s="28">
        <f>PROGRAMADO!AX76/'Anexo '!$H$23</f>
        <v>0</v>
      </c>
      <c r="AY76" s="28">
        <f>PROGRAMADO!AY76/'Anexo '!$I$23</f>
        <v>0</v>
      </c>
      <c r="AZ76" s="28">
        <f>PROGRAMADO!AZ76/'Anexo '!$I$23</f>
        <v>0</v>
      </c>
      <c r="BA76" s="28">
        <f>PROGRAMADO!BA76/'Anexo '!$I$23</f>
        <v>0</v>
      </c>
      <c r="BB76" s="28">
        <f>PROGRAMADO!BB76/'Anexo '!$I$23</f>
        <v>0</v>
      </c>
      <c r="BC76" s="28">
        <f>PROGRAMADO!BC76/'Anexo '!$I$23</f>
        <v>0</v>
      </c>
      <c r="BD76" s="28">
        <f>PROGRAMADO!BD76/'Anexo '!$I$23</f>
        <v>0</v>
      </c>
      <c r="BE76" s="28">
        <f>PROGRAMADO!BE76/'Anexo '!$I$23</f>
        <v>0</v>
      </c>
      <c r="BF76" s="28">
        <f>PROGRAMADO!BF76/'Anexo '!$J$23</f>
        <v>0</v>
      </c>
      <c r="BG76" s="28">
        <f>PROGRAMADO!BG76/'Anexo '!$J$23</f>
        <v>0</v>
      </c>
      <c r="BH76" s="28">
        <f>PROGRAMADO!BH76/'Anexo '!$J$23</f>
        <v>0</v>
      </c>
      <c r="BI76" s="28">
        <f>PROGRAMADO!BI76/'Anexo '!$J$23</f>
        <v>0</v>
      </c>
      <c r="BJ76" s="28">
        <f>PROGRAMADO!BJ76/'Anexo '!$J$23</f>
        <v>0</v>
      </c>
      <c r="BK76" s="28">
        <f>PROGRAMADO!BK76/'Anexo '!$J$23</f>
        <v>0</v>
      </c>
      <c r="BL76" s="28">
        <f>PROGRAMADO!BL76/'Anexo '!$J$23</f>
        <v>0</v>
      </c>
      <c r="BM76" s="28">
        <f>PROGRAMADO!BM76/'Anexo '!$K$23</f>
        <v>0</v>
      </c>
      <c r="BN76" s="28">
        <f>PROGRAMADO!BN76/'Anexo '!$K$23</f>
        <v>717971.12953358644</v>
      </c>
      <c r="BO76" s="28">
        <f>PROGRAMADO!BO76/'Anexo '!$K$23</f>
        <v>717971.12953358644</v>
      </c>
      <c r="BP76" s="28">
        <f>PROGRAMADO!BP76/'Anexo '!$K$23</f>
        <v>0</v>
      </c>
      <c r="BQ76" s="28">
        <f>PROGRAMADO!BQ76/'Anexo '!$K$23</f>
        <v>0</v>
      </c>
      <c r="BR76" s="28">
        <f>PROGRAMADO!BR76/'Anexo '!$K$23</f>
        <v>0</v>
      </c>
      <c r="BS76" s="28">
        <f>PROGRAMADO!BS76/'Anexo '!$K$23</f>
        <v>717971.12953358644</v>
      </c>
      <c r="BT76" s="28">
        <f>PROGRAMADO!BT76/'Anexo '!$L$23</f>
        <v>0</v>
      </c>
      <c r="BU76" s="28">
        <f>PROGRAMADO!BU76/'Anexo '!$L$23</f>
        <v>0</v>
      </c>
      <c r="BV76" s="28">
        <f>PROGRAMADO!BV76/'Anexo '!$L$23</f>
        <v>0</v>
      </c>
      <c r="BW76" s="28">
        <f>PROGRAMADO!BW76/'Anexo '!$L$23</f>
        <v>0</v>
      </c>
      <c r="BX76" s="28">
        <f>PROGRAMADO!BX76/'Anexo '!$L$23</f>
        <v>0</v>
      </c>
      <c r="BY76" s="28">
        <f>PROGRAMADO!BY76/'Anexo '!$L$23</f>
        <v>0</v>
      </c>
      <c r="BZ76" s="28">
        <f>PROGRAMADO!BZ76/'Anexo '!$L$23</f>
        <v>0</v>
      </c>
      <c r="CA76" s="28">
        <f>PROGRAMADO!CA76/'Anexo '!$L$23</f>
        <v>0</v>
      </c>
      <c r="CB76" s="28">
        <f>PROGRAMADO!CB76/'Anexo '!$M$23</f>
        <v>0</v>
      </c>
      <c r="CC76" s="28">
        <f>PROGRAMADO!CC76/'Anexo '!$M$23</f>
        <v>0</v>
      </c>
      <c r="CD76" s="28">
        <f>PROGRAMADO!CD76/'Anexo '!$M$23</f>
        <v>0</v>
      </c>
      <c r="CE76" s="28">
        <f>PROGRAMADO!CE76/'Anexo '!$M$23</f>
        <v>0</v>
      </c>
      <c r="CF76" s="28">
        <f>PROGRAMADO!CF76/'Anexo '!$M$23</f>
        <v>0</v>
      </c>
      <c r="CG76" s="28">
        <f>PROGRAMADO!CG76/'Anexo '!$M$23</f>
        <v>0</v>
      </c>
      <c r="CH76" s="28">
        <f>PROGRAMADO!CH76/'Anexo '!$M$23</f>
        <v>0</v>
      </c>
      <c r="CI76" s="29">
        <f>PROGRAMADO!CI76/'Anexo '!$M$23</f>
        <v>0</v>
      </c>
    </row>
    <row r="77" spans="1:87" x14ac:dyDescent="0.25">
      <c r="A77" s="15" t="s">
        <v>118</v>
      </c>
      <c r="B77" s="27">
        <f>PROGRAMADO!B77/'Anexo '!$B$23</f>
        <v>0</v>
      </c>
      <c r="C77" s="28">
        <f>PROGRAMADO!C77/'Anexo '!$B$23</f>
        <v>0</v>
      </c>
      <c r="D77" s="28">
        <f>PROGRAMADO!D77/'Anexo '!$B$23</f>
        <v>0</v>
      </c>
      <c r="E77" s="28">
        <f>PROGRAMADO!E77/'Anexo '!$B$23</f>
        <v>0</v>
      </c>
      <c r="F77" s="28">
        <f>PROGRAMADO!F77/'Anexo '!$B$23</f>
        <v>0</v>
      </c>
      <c r="G77" s="28">
        <f>PROGRAMADO!G77/'Anexo '!$B$23</f>
        <v>0</v>
      </c>
      <c r="H77" s="28">
        <f>PROGRAMADO!H77/'Anexo '!$B$23</f>
        <v>0</v>
      </c>
      <c r="I77" s="28">
        <f>PROGRAMADO!I77/'Anexo '!$C$23</f>
        <v>0</v>
      </c>
      <c r="J77" s="28">
        <f>PROGRAMADO!J77/'Anexo '!$C$23</f>
        <v>0</v>
      </c>
      <c r="K77" s="28">
        <f>PROGRAMADO!K77/'Anexo '!$C$23</f>
        <v>0</v>
      </c>
      <c r="L77" s="28">
        <f>PROGRAMADO!L77/'Anexo '!$C$23</f>
        <v>0</v>
      </c>
      <c r="M77" s="28">
        <f>PROGRAMADO!M77/'Anexo '!$C$23</f>
        <v>0</v>
      </c>
      <c r="N77" s="28">
        <f>PROGRAMADO!N77/'Anexo '!$C$23</f>
        <v>0</v>
      </c>
      <c r="O77" s="28">
        <f>PROGRAMADO!O77/'Anexo '!$C$23</f>
        <v>0</v>
      </c>
      <c r="P77" s="28">
        <f>PROGRAMADO!P77/'Anexo '!$D$23</f>
        <v>0</v>
      </c>
      <c r="Q77" s="28">
        <f>PROGRAMADO!Q77/'Anexo '!$D$23</f>
        <v>0</v>
      </c>
      <c r="R77" s="28">
        <f>PROGRAMADO!R77/'Anexo '!$D$23</f>
        <v>0</v>
      </c>
      <c r="S77" s="28">
        <f>PROGRAMADO!S77/'Anexo '!$D$23</f>
        <v>0</v>
      </c>
      <c r="T77" s="28">
        <f>PROGRAMADO!T77/'Anexo '!$D$23</f>
        <v>0</v>
      </c>
      <c r="U77" s="28">
        <f>PROGRAMADO!U77/'Anexo '!$D$23</f>
        <v>0</v>
      </c>
      <c r="V77" s="28">
        <f>PROGRAMADO!V77/'Anexo '!$D$23</f>
        <v>0</v>
      </c>
      <c r="W77" s="28">
        <f>PROGRAMADO!W77/'Anexo '!$E$23</f>
        <v>0</v>
      </c>
      <c r="X77" s="28">
        <f>PROGRAMADO!X77/'Anexo '!$E$23</f>
        <v>0</v>
      </c>
      <c r="Y77" s="28">
        <f>PROGRAMADO!Y77/'Anexo '!$E$23</f>
        <v>0</v>
      </c>
      <c r="Z77" s="28">
        <f>PROGRAMADO!Z77/'Anexo '!$E$23</f>
        <v>0</v>
      </c>
      <c r="AA77" s="28">
        <f>PROGRAMADO!AA77/'Anexo '!$E$23</f>
        <v>0</v>
      </c>
      <c r="AB77" s="28">
        <f>PROGRAMADO!AB77/'Anexo '!$E$23</f>
        <v>0</v>
      </c>
      <c r="AC77" s="28">
        <f>PROGRAMADO!AC77/'Anexo '!$E$23</f>
        <v>0</v>
      </c>
      <c r="AD77" s="28">
        <f>PROGRAMADO!AD77/'Anexo '!$F$23</f>
        <v>0</v>
      </c>
      <c r="AE77" s="28">
        <f>PROGRAMADO!AE77/'Anexo '!$F$23</f>
        <v>0</v>
      </c>
      <c r="AF77" s="28">
        <f>PROGRAMADO!AF77/'Anexo '!$F$23</f>
        <v>0</v>
      </c>
      <c r="AG77" s="28">
        <f>PROGRAMADO!AG77/'Anexo '!$F$23</f>
        <v>0</v>
      </c>
      <c r="AH77" s="28">
        <f>PROGRAMADO!AH77/'Anexo '!$F$23</f>
        <v>0</v>
      </c>
      <c r="AI77" s="28">
        <f>PROGRAMADO!AI77/'Anexo '!$F$23</f>
        <v>0</v>
      </c>
      <c r="AJ77" s="28">
        <f>PROGRAMADO!AJ77/'Anexo '!$F$23</f>
        <v>0</v>
      </c>
      <c r="AK77" s="28">
        <f>PROGRAMADO!AK77/'Anexo '!$G$23</f>
        <v>0</v>
      </c>
      <c r="AL77" s="28">
        <f>PROGRAMADO!AL77/'Anexo '!$G$23</f>
        <v>0</v>
      </c>
      <c r="AM77" s="28">
        <f>PROGRAMADO!AM77/'Anexo '!$G$23</f>
        <v>0</v>
      </c>
      <c r="AN77" s="28">
        <f>PROGRAMADO!AN77/'Anexo '!$G$23</f>
        <v>0</v>
      </c>
      <c r="AO77" s="28">
        <f>PROGRAMADO!AO77/'Anexo '!$G$23</f>
        <v>0</v>
      </c>
      <c r="AP77" s="28">
        <f>PROGRAMADO!AP77/'Anexo '!$G$23</f>
        <v>0</v>
      </c>
      <c r="AQ77" s="28">
        <f>PROGRAMADO!AQ77/'Anexo '!$G$23</f>
        <v>0</v>
      </c>
      <c r="AR77" s="28">
        <f>PROGRAMADO!AR77/'Anexo '!$H$23</f>
        <v>0</v>
      </c>
      <c r="AS77" s="28">
        <f>PROGRAMADO!AS77/'Anexo '!$H$23</f>
        <v>0</v>
      </c>
      <c r="AT77" s="28">
        <f>PROGRAMADO!AT77/'Anexo '!$H$23</f>
        <v>0</v>
      </c>
      <c r="AU77" s="28">
        <f>PROGRAMADO!AU77/'Anexo '!$H$23</f>
        <v>0</v>
      </c>
      <c r="AV77" s="28">
        <f>PROGRAMADO!AV77/'Anexo '!$H$23</f>
        <v>0</v>
      </c>
      <c r="AW77" s="28">
        <f>PROGRAMADO!AW77/'Anexo '!$H$23</f>
        <v>0</v>
      </c>
      <c r="AX77" s="28">
        <f>PROGRAMADO!AX77/'Anexo '!$H$23</f>
        <v>0</v>
      </c>
      <c r="AY77" s="28">
        <f>PROGRAMADO!AY77/'Anexo '!$I$23</f>
        <v>0</v>
      </c>
      <c r="AZ77" s="28">
        <f>PROGRAMADO!AZ77/'Anexo '!$I$23</f>
        <v>0</v>
      </c>
      <c r="BA77" s="28">
        <f>PROGRAMADO!BA77/'Anexo '!$I$23</f>
        <v>0</v>
      </c>
      <c r="BB77" s="28">
        <f>PROGRAMADO!BB77/'Anexo '!$I$23</f>
        <v>0</v>
      </c>
      <c r="BC77" s="28">
        <f>PROGRAMADO!BC77/'Anexo '!$I$23</f>
        <v>0</v>
      </c>
      <c r="BD77" s="28">
        <f>PROGRAMADO!BD77/'Anexo '!$I$23</f>
        <v>0</v>
      </c>
      <c r="BE77" s="28">
        <f>PROGRAMADO!BE77/'Anexo '!$I$23</f>
        <v>0</v>
      </c>
      <c r="BF77" s="28">
        <f>PROGRAMADO!BF77/'Anexo '!$J$23</f>
        <v>0</v>
      </c>
      <c r="BG77" s="28">
        <f>PROGRAMADO!BG77/'Anexo '!$J$23</f>
        <v>0</v>
      </c>
      <c r="BH77" s="28">
        <f>PROGRAMADO!BH77/'Anexo '!$J$23</f>
        <v>0</v>
      </c>
      <c r="BI77" s="28">
        <f>PROGRAMADO!BI77/'Anexo '!$J$23</f>
        <v>0</v>
      </c>
      <c r="BJ77" s="28">
        <f>PROGRAMADO!BJ77/'Anexo '!$J$23</f>
        <v>0</v>
      </c>
      <c r="BK77" s="28">
        <f>PROGRAMADO!BK77/'Anexo '!$J$23</f>
        <v>0</v>
      </c>
      <c r="BL77" s="28">
        <f>PROGRAMADO!BL77/'Anexo '!$J$23</f>
        <v>0</v>
      </c>
      <c r="BM77" s="28">
        <f>PROGRAMADO!BM77/'Anexo '!$K$23</f>
        <v>0</v>
      </c>
      <c r="BN77" s="28">
        <f>PROGRAMADO!BN77/'Anexo '!$K$23</f>
        <v>0</v>
      </c>
      <c r="BO77" s="28">
        <f>PROGRAMADO!BO77/'Anexo '!$K$23</f>
        <v>0</v>
      </c>
      <c r="BP77" s="28">
        <f>PROGRAMADO!BP77/'Anexo '!$K$23</f>
        <v>0</v>
      </c>
      <c r="BQ77" s="28">
        <f>PROGRAMADO!BQ77/'Anexo '!$K$23</f>
        <v>0</v>
      </c>
      <c r="BR77" s="28">
        <f>PROGRAMADO!BR77/'Anexo '!$K$23</f>
        <v>0</v>
      </c>
      <c r="BS77" s="28">
        <f>PROGRAMADO!BS77/'Anexo '!$K$23</f>
        <v>0</v>
      </c>
      <c r="BT77" s="28">
        <f>PROGRAMADO!BT77/'Anexo '!$L$23</f>
        <v>0</v>
      </c>
      <c r="BU77" s="28">
        <f>PROGRAMADO!BU77/'Anexo '!$L$23</f>
        <v>3499747.3106634896</v>
      </c>
      <c r="BV77" s="28">
        <f>PROGRAMADO!BV77/'Anexo '!$L$23</f>
        <v>0</v>
      </c>
      <c r="BW77" s="28">
        <f>PROGRAMADO!BW77/'Anexo '!$L$23</f>
        <v>3499747.3106634896</v>
      </c>
      <c r="BX77" s="28">
        <f>PROGRAMADO!BX77/'Anexo '!$L$23</f>
        <v>0</v>
      </c>
      <c r="BY77" s="28">
        <f>PROGRAMADO!BY77/'Anexo '!$L$23</f>
        <v>0</v>
      </c>
      <c r="BZ77" s="28">
        <f>PROGRAMADO!BZ77/'Anexo '!$L$23</f>
        <v>0</v>
      </c>
      <c r="CA77" s="28">
        <f>PROGRAMADO!CA77/'Anexo '!$L$23</f>
        <v>3499747.3106634896</v>
      </c>
      <c r="CB77" s="28">
        <f>PROGRAMADO!CB77/'Anexo '!$M$23</f>
        <v>0</v>
      </c>
      <c r="CC77" s="28">
        <f>PROGRAMADO!CC77/'Anexo '!$M$23</f>
        <v>3333242.9983141511</v>
      </c>
      <c r="CD77" s="28">
        <f>PROGRAMADO!CD77/'Anexo '!$M$23</f>
        <v>0</v>
      </c>
      <c r="CE77" s="28">
        <f>PROGRAMADO!CE77/'Anexo '!$M$23</f>
        <v>3333242.9983141511</v>
      </c>
      <c r="CF77" s="28">
        <f>PROGRAMADO!CF77/'Anexo '!$M$23</f>
        <v>0</v>
      </c>
      <c r="CG77" s="28">
        <f>PROGRAMADO!CG77/'Anexo '!$M$23</f>
        <v>0</v>
      </c>
      <c r="CH77" s="28">
        <f>PROGRAMADO!CH77/'Anexo '!$M$23</f>
        <v>0</v>
      </c>
      <c r="CI77" s="29">
        <f>PROGRAMADO!CI77/'Anexo '!$M$23</f>
        <v>3333242.9983141511</v>
      </c>
    </row>
    <row r="78" spans="1:87" ht="15.75" thickBot="1" x14ac:dyDescent="0.3">
      <c r="A78" s="16" t="s">
        <v>119</v>
      </c>
      <c r="B78" s="30">
        <f>PROGRAMADO!B78/'Anexo '!$B$23</f>
        <v>0</v>
      </c>
      <c r="C78" s="31">
        <f>PROGRAMADO!C78/'Anexo '!$B$23</f>
        <v>0</v>
      </c>
      <c r="D78" s="31">
        <f>PROGRAMADO!D78/'Anexo '!$B$23</f>
        <v>0</v>
      </c>
      <c r="E78" s="31">
        <f>PROGRAMADO!E78/'Anexo '!$B$23</f>
        <v>0</v>
      </c>
      <c r="F78" s="31">
        <f>PROGRAMADO!F78/'Anexo '!$B$23</f>
        <v>0</v>
      </c>
      <c r="G78" s="31">
        <f>PROGRAMADO!G78/'Anexo '!$B$23</f>
        <v>0</v>
      </c>
      <c r="H78" s="31">
        <f>PROGRAMADO!H78/'Anexo '!$B$23</f>
        <v>0</v>
      </c>
      <c r="I78" s="31">
        <f>PROGRAMADO!I78/'Anexo '!$C$23</f>
        <v>0</v>
      </c>
      <c r="J78" s="31">
        <f>PROGRAMADO!J78/'Anexo '!$C$23</f>
        <v>0</v>
      </c>
      <c r="K78" s="31">
        <f>PROGRAMADO!K78/'Anexo '!$C$23</f>
        <v>0</v>
      </c>
      <c r="L78" s="31">
        <f>PROGRAMADO!L78/'Anexo '!$C$23</f>
        <v>0</v>
      </c>
      <c r="M78" s="31">
        <f>PROGRAMADO!M78/'Anexo '!$C$23</f>
        <v>0</v>
      </c>
      <c r="N78" s="31">
        <f>PROGRAMADO!N78/'Anexo '!$C$23</f>
        <v>0</v>
      </c>
      <c r="O78" s="31">
        <f>PROGRAMADO!O78/'Anexo '!$C$23</f>
        <v>0</v>
      </c>
      <c r="P78" s="31">
        <f>PROGRAMADO!P78/'Anexo '!$D$23</f>
        <v>0</v>
      </c>
      <c r="Q78" s="31">
        <f>PROGRAMADO!Q78/'Anexo '!$D$23</f>
        <v>0</v>
      </c>
      <c r="R78" s="31">
        <f>PROGRAMADO!R78/'Anexo '!$D$23</f>
        <v>0</v>
      </c>
      <c r="S78" s="31">
        <f>PROGRAMADO!S78/'Anexo '!$D$23</f>
        <v>0</v>
      </c>
      <c r="T78" s="31">
        <f>PROGRAMADO!T78/'Anexo '!$D$23</f>
        <v>0</v>
      </c>
      <c r="U78" s="31">
        <f>PROGRAMADO!U78/'Anexo '!$D$23</f>
        <v>0</v>
      </c>
      <c r="V78" s="31">
        <f>PROGRAMADO!V78/'Anexo '!$D$23</f>
        <v>0</v>
      </c>
      <c r="W78" s="31">
        <f>PROGRAMADO!W78/'Anexo '!$E$23</f>
        <v>0</v>
      </c>
      <c r="X78" s="31">
        <f>PROGRAMADO!X78/'Anexo '!$E$23</f>
        <v>0</v>
      </c>
      <c r="Y78" s="31">
        <f>PROGRAMADO!Y78/'Anexo '!$E$23</f>
        <v>0</v>
      </c>
      <c r="Z78" s="31">
        <f>PROGRAMADO!Z78/'Anexo '!$E$23</f>
        <v>0</v>
      </c>
      <c r="AA78" s="31">
        <f>PROGRAMADO!AA78/'Anexo '!$E$23</f>
        <v>0</v>
      </c>
      <c r="AB78" s="31">
        <f>PROGRAMADO!AB78/'Anexo '!$E$23</f>
        <v>0</v>
      </c>
      <c r="AC78" s="31">
        <f>PROGRAMADO!AC78/'Anexo '!$E$23</f>
        <v>0</v>
      </c>
      <c r="AD78" s="31">
        <f>PROGRAMADO!AD78/'Anexo '!$F$23</f>
        <v>0</v>
      </c>
      <c r="AE78" s="31">
        <f>PROGRAMADO!AE78/'Anexo '!$F$23</f>
        <v>0</v>
      </c>
      <c r="AF78" s="31">
        <f>PROGRAMADO!AF78/'Anexo '!$F$23</f>
        <v>0</v>
      </c>
      <c r="AG78" s="31">
        <f>PROGRAMADO!AG78/'Anexo '!$F$23</f>
        <v>0</v>
      </c>
      <c r="AH78" s="31">
        <f>PROGRAMADO!AH78/'Anexo '!$F$23</f>
        <v>0</v>
      </c>
      <c r="AI78" s="31">
        <f>PROGRAMADO!AI78/'Anexo '!$F$23</f>
        <v>0</v>
      </c>
      <c r="AJ78" s="31">
        <f>PROGRAMADO!AJ78/'Anexo '!$F$23</f>
        <v>0</v>
      </c>
      <c r="AK78" s="31">
        <f>PROGRAMADO!AK78/'Anexo '!$G$23</f>
        <v>0</v>
      </c>
      <c r="AL78" s="31">
        <f>PROGRAMADO!AL78/'Anexo '!$G$23</f>
        <v>0</v>
      </c>
      <c r="AM78" s="31">
        <f>PROGRAMADO!AM78/'Anexo '!$G$23</f>
        <v>0</v>
      </c>
      <c r="AN78" s="31">
        <f>PROGRAMADO!AN78/'Anexo '!$G$23</f>
        <v>0</v>
      </c>
      <c r="AO78" s="31">
        <f>PROGRAMADO!AO78/'Anexo '!$G$23</f>
        <v>0</v>
      </c>
      <c r="AP78" s="31">
        <f>PROGRAMADO!AP78/'Anexo '!$G$23</f>
        <v>0</v>
      </c>
      <c r="AQ78" s="31">
        <f>PROGRAMADO!AQ78/'Anexo '!$G$23</f>
        <v>0</v>
      </c>
      <c r="AR78" s="31">
        <f>PROGRAMADO!AR78/'Anexo '!$H$23</f>
        <v>0</v>
      </c>
      <c r="AS78" s="31">
        <f>PROGRAMADO!AS78/'Anexo '!$H$23</f>
        <v>0</v>
      </c>
      <c r="AT78" s="31">
        <f>PROGRAMADO!AT78/'Anexo '!$H$23</f>
        <v>0</v>
      </c>
      <c r="AU78" s="31">
        <f>PROGRAMADO!AU78/'Anexo '!$H$23</f>
        <v>0</v>
      </c>
      <c r="AV78" s="31">
        <f>PROGRAMADO!AV78/'Anexo '!$H$23</f>
        <v>0</v>
      </c>
      <c r="AW78" s="31">
        <f>PROGRAMADO!AW78/'Anexo '!$H$23</f>
        <v>0</v>
      </c>
      <c r="AX78" s="31">
        <f>PROGRAMADO!AX78/'Anexo '!$H$23</f>
        <v>0</v>
      </c>
      <c r="AY78" s="31">
        <f>PROGRAMADO!AY78/'Anexo '!$I$23</f>
        <v>0</v>
      </c>
      <c r="AZ78" s="31">
        <f>PROGRAMADO!AZ78/'Anexo '!$I$23</f>
        <v>0</v>
      </c>
      <c r="BA78" s="31">
        <f>PROGRAMADO!BA78/'Anexo '!$I$23</f>
        <v>0</v>
      </c>
      <c r="BB78" s="31">
        <f>PROGRAMADO!BB78/'Anexo '!$I$23</f>
        <v>0</v>
      </c>
      <c r="BC78" s="31">
        <f>PROGRAMADO!BC78/'Anexo '!$I$23</f>
        <v>0</v>
      </c>
      <c r="BD78" s="31">
        <f>PROGRAMADO!BD78/'Anexo '!$I$23</f>
        <v>0</v>
      </c>
      <c r="BE78" s="31">
        <f>PROGRAMADO!BE78/'Anexo '!$I$23</f>
        <v>0</v>
      </c>
      <c r="BF78" s="31">
        <f>PROGRAMADO!BF78/'Anexo '!$J$23</f>
        <v>0</v>
      </c>
      <c r="BG78" s="31">
        <f>PROGRAMADO!BG78/'Anexo '!$J$23</f>
        <v>0</v>
      </c>
      <c r="BH78" s="31">
        <f>PROGRAMADO!BH78/'Anexo '!$J$23</f>
        <v>0</v>
      </c>
      <c r="BI78" s="31">
        <f>PROGRAMADO!BI78/'Anexo '!$J$23</f>
        <v>0</v>
      </c>
      <c r="BJ78" s="31">
        <f>PROGRAMADO!BJ78/'Anexo '!$J$23</f>
        <v>0</v>
      </c>
      <c r="BK78" s="31">
        <f>PROGRAMADO!BK78/'Anexo '!$J$23</f>
        <v>0</v>
      </c>
      <c r="BL78" s="31">
        <f>PROGRAMADO!BL78/'Anexo '!$J$23</f>
        <v>0</v>
      </c>
      <c r="BM78" s="31">
        <f>PROGRAMADO!BM78/'Anexo '!$K$23</f>
        <v>0</v>
      </c>
      <c r="BN78" s="31">
        <f>PROGRAMADO!BN78/'Anexo '!$K$23</f>
        <v>0</v>
      </c>
      <c r="BO78" s="31">
        <f>PROGRAMADO!BO78/'Anexo '!$K$23</f>
        <v>0</v>
      </c>
      <c r="BP78" s="31">
        <f>PROGRAMADO!BP78/'Anexo '!$K$23</f>
        <v>0</v>
      </c>
      <c r="BQ78" s="31">
        <f>PROGRAMADO!BQ78/'Anexo '!$K$23</f>
        <v>0</v>
      </c>
      <c r="BR78" s="31">
        <f>PROGRAMADO!BR78/'Anexo '!$K$23</f>
        <v>0</v>
      </c>
      <c r="BS78" s="31">
        <f>PROGRAMADO!BS78/'Anexo '!$K$23</f>
        <v>0</v>
      </c>
      <c r="BT78" s="31">
        <f>PROGRAMADO!BT78/'Anexo '!$L$23</f>
        <v>0</v>
      </c>
      <c r="BU78" s="31">
        <f>PROGRAMADO!BU78/'Anexo '!$L$23</f>
        <v>0</v>
      </c>
      <c r="BV78" s="31">
        <f>PROGRAMADO!BV78/'Anexo '!$L$23</f>
        <v>0</v>
      </c>
      <c r="BW78" s="31">
        <f>PROGRAMADO!BW78/'Anexo '!$L$23</f>
        <v>0</v>
      </c>
      <c r="BX78" s="31">
        <f>PROGRAMADO!BX78/'Anexo '!$L$23</f>
        <v>0</v>
      </c>
      <c r="BY78" s="31">
        <f>PROGRAMADO!BY78/'Anexo '!$L$23</f>
        <v>807372.20077548013</v>
      </c>
      <c r="BZ78" s="31">
        <f>PROGRAMADO!BZ78/'Anexo '!$L$23</f>
        <v>807372.20077548013</v>
      </c>
      <c r="CA78" s="31">
        <f>PROGRAMADO!CA78/'Anexo '!$L$23</f>
        <v>807372.20077548013</v>
      </c>
      <c r="CB78" s="31">
        <f>PROGRAMADO!CB78/'Anexo '!$M$23</f>
        <v>0</v>
      </c>
      <c r="CC78" s="31">
        <f>PROGRAMADO!CC78/'Anexo '!$M$23</f>
        <v>0</v>
      </c>
      <c r="CD78" s="31">
        <f>PROGRAMADO!CD78/'Anexo '!$M$23</f>
        <v>0</v>
      </c>
      <c r="CE78" s="31">
        <f>PROGRAMADO!CE78/'Anexo '!$M$23</f>
        <v>0</v>
      </c>
      <c r="CF78" s="31">
        <f>PROGRAMADO!CF78/'Anexo '!$M$23</f>
        <v>2516489.4549065689</v>
      </c>
      <c r="CG78" s="31">
        <f>PROGRAMADO!CG78/'Anexo '!$M$23</f>
        <v>32358.833577867426</v>
      </c>
      <c r="CH78" s="31">
        <f>PROGRAMADO!CH78/'Anexo '!$M$23</f>
        <v>2548848.288484436</v>
      </c>
      <c r="CI78" s="32">
        <f>PROGRAMADO!CI78/'Anexo '!$M$23</f>
        <v>2548848.288484436</v>
      </c>
    </row>
    <row r="80" spans="1:87" x14ac:dyDescent="0.25">
      <c r="A80" s="1" t="s">
        <v>62</v>
      </c>
    </row>
    <row r="81" spans="1:1" x14ac:dyDescent="0.25">
      <c r="A81" s="1" t="s">
        <v>79</v>
      </c>
    </row>
    <row r="82" spans="1:1" x14ac:dyDescent="0.25">
      <c r="A82" s="1" t="s">
        <v>82</v>
      </c>
    </row>
    <row r="83" spans="1:1" x14ac:dyDescent="0.25">
      <c r="A83" s="1" t="s">
        <v>83</v>
      </c>
    </row>
    <row r="84" spans="1:1" x14ac:dyDescent="0.25">
      <c r="A84" s="1" t="s">
        <v>84</v>
      </c>
    </row>
    <row r="85" spans="1:1" x14ac:dyDescent="0.25">
      <c r="A85" s="1" t="s">
        <v>85</v>
      </c>
    </row>
    <row r="86" spans="1:1" x14ac:dyDescent="0.25">
      <c r="A86" s="1" t="s">
        <v>86</v>
      </c>
    </row>
    <row r="87" spans="1:1" x14ac:dyDescent="0.25">
      <c r="A87" s="1" t="s">
        <v>87</v>
      </c>
    </row>
    <row r="88" spans="1:1" x14ac:dyDescent="0.25">
      <c r="A88" s="1" t="s">
        <v>88</v>
      </c>
    </row>
    <row r="89" spans="1:1" x14ac:dyDescent="0.25">
      <c r="A89" s="1" t="s">
        <v>89</v>
      </c>
    </row>
    <row r="90" spans="1:1" x14ac:dyDescent="0.25">
      <c r="A90" s="1" t="s">
        <v>90</v>
      </c>
    </row>
    <row r="91" spans="1:1" x14ac:dyDescent="0.25">
      <c r="A91" s="1" t="s">
        <v>91</v>
      </c>
    </row>
    <row r="92" spans="1:1" x14ac:dyDescent="0.25">
      <c r="A92" s="1" t="s">
        <v>101</v>
      </c>
    </row>
    <row r="93" spans="1:1" x14ac:dyDescent="0.25">
      <c r="A93" s="1" t="s">
        <v>108</v>
      </c>
    </row>
    <row r="94" spans="1:1" x14ac:dyDescent="0.25">
      <c r="A94" s="1" t="s">
        <v>111</v>
      </c>
    </row>
    <row r="95" spans="1:1" x14ac:dyDescent="0.25">
      <c r="A95" s="1" t="s">
        <v>112</v>
      </c>
    </row>
  </sheetData>
  <mergeCells count="123">
    <mergeCell ref="V2:V4"/>
    <mergeCell ref="AC2:AC4"/>
    <mergeCell ref="AJ2:AJ4"/>
    <mergeCell ref="AQ2:AQ4"/>
    <mergeCell ref="AX2:AX4"/>
    <mergeCell ref="BE2:BE4"/>
    <mergeCell ref="BL2:BL4"/>
    <mergeCell ref="BS2:BS4"/>
    <mergeCell ref="CA2:CA4"/>
    <mergeCell ref="AK3:AK4"/>
    <mergeCell ref="AL3:AL4"/>
    <mergeCell ref="AM3:AM4"/>
    <mergeCell ref="BA3:BA4"/>
    <mergeCell ref="BB3:BB4"/>
    <mergeCell ref="BC3:BC4"/>
    <mergeCell ref="BD3:BD4"/>
    <mergeCell ref="BF3:BF4"/>
    <mergeCell ref="AN3:AN4"/>
    <mergeCell ref="AO3:AO4"/>
    <mergeCell ref="AP3:AP4"/>
    <mergeCell ref="AR3:AR4"/>
    <mergeCell ref="AS3:AS4"/>
    <mergeCell ref="AT3:AT4"/>
    <mergeCell ref="BF2:BH2"/>
    <mergeCell ref="A1:A4"/>
    <mergeCell ref="B1:H1"/>
    <mergeCell ref="I1:O1"/>
    <mergeCell ref="P1:V1"/>
    <mergeCell ref="W1:AC1"/>
    <mergeCell ref="AD1:AJ1"/>
    <mergeCell ref="W2:Y2"/>
    <mergeCell ref="Z2:AB2"/>
    <mergeCell ref="AD2:AF2"/>
    <mergeCell ref="Z3:Z4"/>
    <mergeCell ref="AA3:AA4"/>
    <mergeCell ref="AB3:AB4"/>
    <mergeCell ref="AD3:AD4"/>
    <mergeCell ref="AE3:AE4"/>
    <mergeCell ref="AF3:AF4"/>
    <mergeCell ref="AG3:AG4"/>
    <mergeCell ref="AH3:AH4"/>
    <mergeCell ref="U3:U4"/>
    <mergeCell ref="W3:W4"/>
    <mergeCell ref="X3:X4"/>
    <mergeCell ref="Y3:Y4"/>
    <mergeCell ref="N3:N4"/>
    <mergeCell ref="P3:P4"/>
    <mergeCell ref="AI3:AI4"/>
    <mergeCell ref="CB1:CI1"/>
    <mergeCell ref="B2:D2"/>
    <mergeCell ref="E2:G2"/>
    <mergeCell ref="I2:K2"/>
    <mergeCell ref="L2:N2"/>
    <mergeCell ref="P2:R2"/>
    <mergeCell ref="S2:U2"/>
    <mergeCell ref="AK1:AQ1"/>
    <mergeCell ref="AR1:AX1"/>
    <mergeCell ref="AY1:BE1"/>
    <mergeCell ref="BF1:BL1"/>
    <mergeCell ref="BM1:BS1"/>
    <mergeCell ref="BT1:CA1"/>
    <mergeCell ref="AG2:AI2"/>
    <mergeCell ref="AK2:AM2"/>
    <mergeCell ref="AN2:AP2"/>
    <mergeCell ref="AR2:AT2"/>
    <mergeCell ref="BX2:BZ2"/>
    <mergeCell ref="CB2:CE2"/>
    <mergeCell ref="CF2:CH2"/>
    <mergeCell ref="CI2:CI4"/>
    <mergeCell ref="B3:B4"/>
    <mergeCell ref="C3:C4"/>
    <mergeCell ref="D3:D4"/>
    <mergeCell ref="E3:E4"/>
    <mergeCell ref="F3:F4"/>
    <mergeCell ref="BI2:BK2"/>
    <mergeCell ref="BM2:BO2"/>
    <mergeCell ref="BP2:BR2"/>
    <mergeCell ref="BT2:BW2"/>
    <mergeCell ref="BN3:BN4"/>
    <mergeCell ref="BO3:BO4"/>
    <mergeCell ref="BP3:BP4"/>
    <mergeCell ref="BQ3:BQ4"/>
    <mergeCell ref="AU2:AW2"/>
    <mergeCell ref="Q3:Q4"/>
    <mergeCell ref="R3:R4"/>
    <mergeCell ref="S3:S4"/>
    <mergeCell ref="T3:T4"/>
    <mergeCell ref="G3:G4"/>
    <mergeCell ref="I3:I4"/>
    <mergeCell ref="J3:J4"/>
    <mergeCell ref="K3:K4"/>
    <mergeCell ref="L3:L4"/>
    <mergeCell ref="M3:M4"/>
    <mergeCell ref="H2:H4"/>
    <mergeCell ref="O2:O4"/>
    <mergeCell ref="AZ3:AZ4"/>
    <mergeCell ref="AU3:AU4"/>
    <mergeCell ref="AV3:AV4"/>
    <mergeCell ref="AW3:AW4"/>
    <mergeCell ref="AY3:AY4"/>
    <mergeCell ref="AY2:BA2"/>
    <mergeCell ref="BB2:BD2"/>
    <mergeCell ref="BR3:BR4"/>
    <mergeCell ref="BT3:BT4"/>
    <mergeCell ref="BU3:BU4"/>
    <mergeCell ref="BV3:BV4"/>
    <mergeCell ref="BW3:BW4"/>
    <mergeCell ref="BX3:BX4"/>
    <mergeCell ref="BG3:BG4"/>
    <mergeCell ref="BH3:BH4"/>
    <mergeCell ref="BI3:BI4"/>
    <mergeCell ref="BJ3:BJ4"/>
    <mergeCell ref="BK3:BK4"/>
    <mergeCell ref="BM3:BM4"/>
    <mergeCell ref="CF3:CF4"/>
    <mergeCell ref="CG3:CG4"/>
    <mergeCell ref="CH3:CH4"/>
    <mergeCell ref="BY3:BY4"/>
    <mergeCell ref="BZ3:BZ4"/>
    <mergeCell ref="CB3:CB4"/>
    <mergeCell ref="CC3:CC4"/>
    <mergeCell ref="CD3:CD4"/>
    <mergeCell ref="CE3:C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0" sqref="B20"/>
    </sheetView>
  </sheetViews>
  <sheetFormatPr baseColWidth="10" defaultRowHeight="10.5" x14ac:dyDescent="0.15"/>
  <cols>
    <col min="1" max="1" width="58.7109375" style="4" customWidth="1"/>
    <col min="2" max="13" width="18.7109375" style="4" customWidth="1"/>
    <col min="14" max="16384" width="11.42578125" style="4"/>
  </cols>
  <sheetData>
    <row r="1" spans="1:13" ht="15" customHeight="1" thickBot="1" x14ac:dyDescent="0.2"/>
    <row r="2" spans="1:13" ht="15" customHeight="1" thickBot="1" x14ac:dyDescent="0.2">
      <c r="A2" s="5" t="s">
        <v>46</v>
      </c>
      <c r="B2" s="6">
        <v>2002</v>
      </c>
      <c r="C2" s="6">
        <v>2003</v>
      </c>
      <c r="D2" s="6">
        <v>2004</v>
      </c>
      <c r="E2" s="6">
        <v>2005</v>
      </c>
      <c r="F2" s="6">
        <v>2006</v>
      </c>
      <c r="G2" s="6">
        <v>2007</v>
      </c>
      <c r="H2" s="6">
        <v>2008</v>
      </c>
      <c r="I2" s="6">
        <v>2009</v>
      </c>
      <c r="J2" s="6">
        <v>2010</v>
      </c>
      <c r="K2" s="6">
        <v>2011</v>
      </c>
      <c r="L2" s="6">
        <v>2012</v>
      </c>
      <c r="M2" s="6">
        <v>2013</v>
      </c>
    </row>
    <row r="3" spans="1:13" ht="7.5" customHeight="1" x14ac:dyDescent="0.15"/>
    <row r="4" spans="1:13" ht="15" customHeight="1" x14ac:dyDescent="0.15">
      <c r="A4" s="7" t="s">
        <v>47</v>
      </c>
      <c r="B4" s="8">
        <v>7928.4138457500003</v>
      </c>
      <c r="C4" s="8">
        <v>9619.0063528200008</v>
      </c>
      <c r="D4" s="8">
        <v>9103.1081231000007</v>
      </c>
      <c r="E4" s="8">
        <v>10593.53620434</v>
      </c>
      <c r="F4" s="8">
        <v>14375.69290548</v>
      </c>
      <c r="G4" s="8">
        <v>16113.5245037</v>
      </c>
      <c r="H4" s="8">
        <v>20664.265428459999</v>
      </c>
      <c r="I4" s="8">
        <v>22850.671184010003</v>
      </c>
      <c r="J4" s="8">
        <v>24198.186113110001</v>
      </c>
      <c r="K4" s="8">
        <v>28426.745438799997</v>
      </c>
      <c r="L4" s="8">
        <v>32337.223699850001</v>
      </c>
      <c r="M4" s="8">
        <v>35613.620000000003</v>
      </c>
    </row>
    <row r="5" spans="1:13" ht="15" customHeight="1" x14ac:dyDescent="0.15">
      <c r="A5" s="7" t="s">
        <v>48</v>
      </c>
      <c r="B5" s="8">
        <v>3774.7835564199995</v>
      </c>
      <c r="C5" s="8">
        <v>5322.6684167600006</v>
      </c>
      <c r="D5" s="8">
        <v>6863.9271013500002</v>
      </c>
      <c r="E5" s="8">
        <v>7749.8781798800001</v>
      </c>
      <c r="F5" s="8">
        <v>6782.2754779400002</v>
      </c>
      <c r="G5" s="8">
        <v>7705.8092296499999</v>
      </c>
      <c r="H5" s="8">
        <v>7517.9744494499992</v>
      </c>
      <c r="I5" s="8">
        <v>7019.9360085800008</v>
      </c>
      <c r="J5" s="8">
        <v>7564.4067701700005</v>
      </c>
      <c r="K5" s="8">
        <v>8272.0766145899997</v>
      </c>
      <c r="L5" s="8">
        <v>10153.50465135</v>
      </c>
      <c r="M5" s="8">
        <v>12141.24</v>
      </c>
    </row>
    <row r="6" spans="1:13" ht="15" customHeight="1" x14ac:dyDescent="0.15">
      <c r="A6" s="7" t="s">
        <v>49</v>
      </c>
      <c r="B6" s="9">
        <v>11703.197402169999</v>
      </c>
      <c r="C6" s="9">
        <v>14941.674769580002</v>
      </c>
      <c r="D6" s="9">
        <v>15967.035224450001</v>
      </c>
      <c r="E6" s="9">
        <v>18343.414384220003</v>
      </c>
      <c r="F6" s="9">
        <v>21157.968383419997</v>
      </c>
      <c r="G6" s="9">
        <v>23819.333733349999</v>
      </c>
      <c r="H6" s="9">
        <v>28182.239877909997</v>
      </c>
      <c r="I6" s="9">
        <v>29870.607192590003</v>
      </c>
      <c r="J6" s="9">
        <v>31762.592883279998</v>
      </c>
      <c r="K6" s="9">
        <v>36698.822053390002</v>
      </c>
      <c r="L6" s="9">
        <v>42490.728351200007</v>
      </c>
      <c r="M6" s="9">
        <v>47754.8</v>
      </c>
    </row>
    <row r="7" spans="1:13" ht="7.5" customHeight="1" x14ac:dyDescent="0.15">
      <c r="A7" s="7"/>
    </row>
    <row r="8" spans="1:13" ht="15" customHeight="1" x14ac:dyDescent="0.15">
      <c r="A8" s="7" t="s">
        <v>50</v>
      </c>
      <c r="B8" s="10">
        <v>6510.2381190173001</v>
      </c>
      <c r="C8" s="10">
        <v>7383.61109747097</v>
      </c>
      <c r="D8" s="10">
        <v>8386.7806695847994</v>
      </c>
      <c r="E8" s="10">
        <v>9972.7993250742402</v>
      </c>
      <c r="F8" s="10">
        <v>11064.9103673297</v>
      </c>
      <c r="G8" s="10">
        <v>10572.136119579734</v>
      </c>
      <c r="H8" s="10">
        <v>12537.983988862457</v>
      </c>
      <c r="I8" s="10">
        <v>12834.95339519421</v>
      </c>
      <c r="J8" s="10">
        <v>12472.604767178856</v>
      </c>
      <c r="K8" s="10">
        <v>13822.163357858824</v>
      </c>
      <c r="L8" s="10">
        <v>14752.750758713824</v>
      </c>
      <c r="M8" s="10">
        <v>15993.965207783569</v>
      </c>
    </row>
    <row r="9" spans="1:13" ht="15" customHeight="1" x14ac:dyDescent="0.15">
      <c r="A9" s="7" t="s">
        <v>51</v>
      </c>
      <c r="B9" s="10">
        <v>9552.6190227893803</v>
      </c>
      <c r="C9" s="10">
        <v>10090.014832692799</v>
      </c>
      <c r="D9" s="10">
        <v>10408.917356185701</v>
      </c>
      <c r="E9" s="10">
        <v>11123.1499317007</v>
      </c>
      <c r="F9" s="10">
        <v>11064.9103673297</v>
      </c>
      <c r="G9" s="10">
        <v>10413.057347091748</v>
      </c>
      <c r="H9" s="10">
        <v>11534.975331381238</v>
      </c>
      <c r="I9" s="10">
        <v>11504.464336847584</v>
      </c>
      <c r="J9" s="10">
        <v>11284.227520840861</v>
      </c>
      <c r="K9" s="10">
        <v>11950.726313725512</v>
      </c>
      <c r="L9" s="10">
        <v>12093.697582994637</v>
      </c>
      <c r="M9" s="10">
        <v>12305.832540340445</v>
      </c>
    </row>
    <row r="10" spans="1:13" ht="15" customHeight="1" x14ac:dyDescent="0.15">
      <c r="A10" s="7" t="s">
        <v>52</v>
      </c>
      <c r="B10" s="10">
        <v>2957.0075289352599</v>
      </c>
      <c r="C10" s="10">
        <v>3498.64433221017</v>
      </c>
      <c r="D10" s="10">
        <v>4948.0678921499202</v>
      </c>
      <c r="E10" s="10">
        <v>5358.9027632408397</v>
      </c>
      <c r="F10" s="10">
        <v>4895.5324174597799</v>
      </c>
      <c r="G10" s="10">
        <v>6053.2134641874336</v>
      </c>
      <c r="H10" s="10">
        <v>8492.944336649356</v>
      </c>
      <c r="I10" s="10">
        <v>9840.533546276416</v>
      </c>
      <c r="J10" s="10">
        <v>9711.0928192351475</v>
      </c>
      <c r="K10" s="10">
        <v>11611.819708397759</v>
      </c>
      <c r="L10" s="10">
        <v>13908.757105151119</v>
      </c>
      <c r="M10" s="10">
        <v>16696.492223093253</v>
      </c>
    </row>
    <row r="11" spans="1:13" ht="15" customHeight="1" x14ac:dyDescent="0.15">
      <c r="A11" s="7" t="s">
        <v>53</v>
      </c>
      <c r="B11" s="10">
        <v>5002.8716003140098</v>
      </c>
      <c r="C11" s="10">
        <v>5546.93301483083</v>
      </c>
      <c r="D11" s="10">
        <v>6979.0883821704801</v>
      </c>
      <c r="E11" s="10">
        <v>6611.8681335449901</v>
      </c>
      <c r="F11" s="10">
        <v>4895.5324174597799</v>
      </c>
      <c r="G11" s="10">
        <v>5308.2091651068849</v>
      </c>
      <c r="H11" s="10">
        <v>6016.3281789858938</v>
      </c>
      <c r="I11" s="10">
        <v>6740.4378545399304</v>
      </c>
      <c r="J11" s="10">
        <v>6034.8495819976597</v>
      </c>
      <c r="K11" s="10">
        <v>6138.9851107505638</v>
      </c>
      <c r="L11" s="10">
        <v>6511.7793628423915</v>
      </c>
      <c r="M11" s="10">
        <v>6891.6133863969662</v>
      </c>
    </row>
    <row r="12" spans="1:13" ht="7.5" customHeight="1" x14ac:dyDescent="0.15">
      <c r="A12" s="7"/>
    </row>
    <row r="13" spans="1:13" ht="15" customHeight="1" x14ac:dyDescent="0.15">
      <c r="A13" s="7" t="s">
        <v>54</v>
      </c>
      <c r="B13" s="11">
        <v>0.68151342615946808</v>
      </c>
      <c r="C13" s="11">
        <v>0.73177405780883764</v>
      </c>
      <c r="D13" s="11">
        <v>0.80573035432938589</v>
      </c>
      <c r="E13" s="11">
        <v>0.89658049979637611</v>
      </c>
      <c r="F13" s="11">
        <v>1</v>
      </c>
      <c r="G13" s="11">
        <v>1.015276855507995</v>
      </c>
      <c r="H13" s="11">
        <v>1.0869536889907778</v>
      </c>
      <c r="I13" s="11">
        <v>1.1156498051008954</v>
      </c>
      <c r="J13" s="11">
        <v>1.1053131234852522</v>
      </c>
      <c r="K13" s="11">
        <v>1.1565960925725451</v>
      </c>
      <c r="L13" s="11">
        <v>1.219870983003426</v>
      </c>
      <c r="M13" s="11">
        <f>M8/M9</f>
        <v>1.2997060666438331</v>
      </c>
    </row>
    <row r="14" spans="1:13" ht="15" customHeight="1" x14ac:dyDescent="0.15">
      <c r="A14" s="7" t="s">
        <v>55</v>
      </c>
      <c r="B14" s="11">
        <v>0.5910620469951019</v>
      </c>
      <c r="C14" s="11">
        <v>0.63073491654863101</v>
      </c>
      <c r="D14" s="11">
        <v>0.70898484460961686</v>
      </c>
      <c r="E14" s="11">
        <v>0.81049752581312207</v>
      </c>
      <c r="F14" s="11">
        <v>1</v>
      </c>
      <c r="G14" s="11">
        <v>1.1403494617314214</v>
      </c>
      <c r="H14" s="11">
        <v>1.4116491128781672</v>
      </c>
      <c r="I14" s="11">
        <v>1.45992497203256</v>
      </c>
      <c r="J14" s="11">
        <v>1.6091689920829104</v>
      </c>
      <c r="K14" s="11">
        <v>1.8914884950711466</v>
      </c>
      <c r="L14" s="11">
        <v>2.135938017881482</v>
      </c>
      <c r="M14" s="11">
        <f>M10/M11</f>
        <v>2.422726187172612</v>
      </c>
    </row>
    <row r="15" spans="1:13" ht="7.5" customHeight="1" x14ac:dyDescent="0.15">
      <c r="A15" s="7"/>
    </row>
    <row r="16" spans="1:13" ht="15" customHeight="1" x14ac:dyDescent="0.15">
      <c r="A16" s="7" t="s">
        <v>56</v>
      </c>
      <c r="B16" s="11">
        <v>11633.540208340402</v>
      </c>
      <c r="C16" s="11">
        <v>13144.776383057826</v>
      </c>
      <c r="D16" s="11">
        <v>11297.958521963059</v>
      </c>
      <c r="E16" s="11">
        <v>11815.488075801242</v>
      </c>
      <c r="F16" s="11">
        <v>14375.69290548</v>
      </c>
      <c r="G16" s="11">
        <v>15871.064543904706</v>
      </c>
      <c r="H16" s="11">
        <v>19011.173739744605</v>
      </c>
      <c r="I16" s="11">
        <v>20481.93893776862</v>
      </c>
      <c r="J16" s="11">
        <v>21892.60726119739</v>
      </c>
      <c r="K16" s="11">
        <v>24577.936603237304</v>
      </c>
      <c r="L16" s="11">
        <v>26508.724406439283</v>
      </c>
      <c r="M16" s="11">
        <f>M4/M13</f>
        <v>27401.287809607056</v>
      </c>
    </row>
    <row r="17" spans="1:13" ht="15" customHeight="1" x14ac:dyDescent="0.15">
      <c r="A17" s="7" t="s">
        <v>57</v>
      </c>
      <c r="B17" s="11">
        <v>6386.442126694832</v>
      </c>
      <c r="C17" s="11">
        <v>8438.835835957103</v>
      </c>
      <c r="D17" s="11">
        <v>9681.345311590454</v>
      </c>
      <c r="E17" s="11">
        <v>9561.8776529947154</v>
      </c>
      <c r="F17" s="11">
        <v>6782.2754779400002</v>
      </c>
      <c r="G17" s="11">
        <v>6757.4103274886238</v>
      </c>
      <c r="H17" s="11">
        <v>5325.6679587477911</v>
      </c>
      <c r="I17" s="11">
        <v>4808.4224484540418</v>
      </c>
      <c r="J17" s="11">
        <v>4700.815642972726</v>
      </c>
      <c r="K17" s="11">
        <v>4373.3158494727477</v>
      </c>
      <c r="L17" s="11">
        <v>4753.65135427511</v>
      </c>
      <c r="M17" s="11">
        <f>M5/M14</f>
        <v>5011.3958664760048</v>
      </c>
    </row>
    <row r="18" spans="1:13" ht="15" customHeight="1" x14ac:dyDescent="0.15">
      <c r="A18" s="7" t="s">
        <v>58</v>
      </c>
      <c r="B18" s="11">
        <v>18019.982335035234</v>
      </c>
      <c r="C18" s="11">
        <v>21583.612219014929</v>
      </c>
      <c r="D18" s="11">
        <v>20979.303833553513</v>
      </c>
      <c r="E18" s="11">
        <v>21377.365728795958</v>
      </c>
      <c r="F18" s="11">
        <v>21157.96838342</v>
      </c>
      <c r="G18" s="11">
        <v>22628.47487139333</v>
      </c>
      <c r="H18" s="11">
        <v>24336.841698492397</v>
      </c>
      <c r="I18" s="11">
        <v>25290.361386222663</v>
      </c>
      <c r="J18" s="11">
        <v>26593.422904170118</v>
      </c>
      <c r="K18" s="11">
        <v>28951.25245271005</v>
      </c>
      <c r="L18" s="11">
        <v>31262.375760714393</v>
      </c>
      <c r="M18" s="11">
        <f>SUM(M16,M17)</f>
        <v>32412.683676083063</v>
      </c>
    </row>
    <row r="19" spans="1:13" ht="7.5" customHeight="1" x14ac:dyDescent="0.15">
      <c r="A19" s="7"/>
    </row>
    <row r="20" spans="1:13" ht="15" customHeight="1" x14ac:dyDescent="0.15">
      <c r="A20" s="7" t="s">
        <v>59</v>
      </c>
      <c r="B20" s="12">
        <v>0.64945665231958261</v>
      </c>
      <c r="C20" s="12">
        <v>0.69226942265097535</v>
      </c>
      <c r="D20" s="12">
        <v>0.76108508419201792</v>
      </c>
      <c r="E20" s="12">
        <v>0.85807646353315037</v>
      </c>
      <c r="F20" s="12">
        <v>0.99999999999999978</v>
      </c>
      <c r="G20" s="12">
        <v>1.052626563156589</v>
      </c>
      <c r="H20" s="12">
        <v>1.1580072807744735</v>
      </c>
      <c r="I20" s="12">
        <v>1.1811063802695403</v>
      </c>
      <c r="J20" s="12">
        <v>1.1943777601603629</v>
      </c>
      <c r="K20" s="12">
        <v>1.2676074070831682</v>
      </c>
      <c r="L20" s="12">
        <v>1.3591650447946964</v>
      </c>
      <c r="M20" s="12">
        <f>M6/M18</f>
        <v>1.4733368108990528</v>
      </c>
    </row>
    <row r="21" spans="1:13" ht="15" customHeight="1" x14ac:dyDescent="0.15">
      <c r="A21" s="7" t="s">
        <v>60</v>
      </c>
      <c r="B21" s="12"/>
      <c r="C21" s="12"/>
      <c r="D21" s="12"/>
      <c r="E21" s="12"/>
      <c r="F21" s="12"/>
      <c r="G21" s="12">
        <v>106.133033768735</v>
      </c>
      <c r="H21" s="12">
        <v>127.1751846304212</v>
      </c>
      <c r="I21" s="12">
        <v>131.86413572889128</v>
      </c>
      <c r="J21" s="12">
        <v>139.05741834419823</v>
      </c>
      <c r="K21" s="12">
        <v>150.29585378116016</v>
      </c>
      <c r="L21" s="12">
        <v>161.10842808333331</v>
      </c>
      <c r="M21" s="12">
        <v>172.6</v>
      </c>
    </row>
    <row r="22" spans="1:13" ht="7.5" customHeight="1" x14ac:dyDescent="0.15">
      <c r="A22" s="7"/>
    </row>
    <row r="23" spans="1:13" ht="15" customHeight="1" thickBot="1" x14ac:dyDescent="0.2">
      <c r="A23" s="36" t="s">
        <v>61</v>
      </c>
      <c r="B23" s="37">
        <v>14.251300000000001</v>
      </c>
      <c r="C23" s="37">
        <v>15.106400000000001</v>
      </c>
      <c r="D23" s="37">
        <v>15.9373</v>
      </c>
      <c r="E23" s="37">
        <v>16.7333</v>
      </c>
      <c r="F23" s="37">
        <v>17.57</v>
      </c>
      <c r="G23" s="37">
        <v>18.448499999999999</v>
      </c>
      <c r="H23" s="37">
        <v>19.3719</v>
      </c>
      <c r="I23" s="37">
        <v>20.3429</v>
      </c>
      <c r="J23" s="37">
        <v>21.356400000000001</v>
      </c>
      <c r="K23" s="37">
        <v>22.424299999999999</v>
      </c>
      <c r="L23" s="37">
        <v>23.546700000000001</v>
      </c>
      <c r="M23" s="37">
        <v>24.722769999570644</v>
      </c>
    </row>
    <row r="24" spans="1:13" customFormat="1" ht="15" customHeight="1" x14ac:dyDescent="0.25"/>
    <row r="25" spans="1:13" ht="1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5" customHeight="1" x14ac:dyDescent="0.15">
      <c r="A26" s="13" t="s">
        <v>62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5" customHeight="1" x14ac:dyDescent="0.15">
      <c r="A27" s="4" t="s">
        <v>63</v>
      </c>
    </row>
    <row r="28" spans="1:13" ht="15" customHeight="1" x14ac:dyDescent="0.15">
      <c r="A28" s="4" t="s">
        <v>64</v>
      </c>
    </row>
    <row r="29" spans="1:13" ht="15" customHeight="1" x14ac:dyDescent="0.15">
      <c r="A29" s="4" t="s">
        <v>65</v>
      </c>
    </row>
    <row r="30" spans="1:13" ht="15" customHeight="1" x14ac:dyDescent="0.15"/>
    <row r="31" spans="1:13" ht="15" customHeight="1" x14ac:dyDescent="0.15"/>
    <row r="32" spans="1:13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PROGRAMADO</vt:lpstr>
      <vt:lpstr>PROGRAMADO-COR06</vt:lpstr>
      <vt:lpstr>PROGRAMADO-DÓLARES</vt:lpstr>
      <vt:lpstr>Anexo 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Raitt</dc:creator>
  <cp:lastModifiedBy>Joaquín Bárcenas</cp:lastModifiedBy>
  <dcterms:created xsi:type="dcterms:W3CDTF">2014-10-13T15:34:20Z</dcterms:created>
  <dcterms:modified xsi:type="dcterms:W3CDTF">2014-10-31T17:26:29Z</dcterms:modified>
</cp:coreProperties>
</file>